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kie\Desktop\"/>
    </mc:Choice>
  </mc:AlternateContent>
  <bookViews>
    <workbookView xWindow="0" yWindow="0" windowWidth="19200" windowHeight="7155" tabRatio="724"/>
  </bookViews>
  <sheets>
    <sheet name="Data" sheetId="1" r:id="rId1"/>
    <sheet name="Income Statement" sheetId="3" r:id="rId2"/>
    <sheet name="Retained Earnings Statement" sheetId="4" r:id="rId3"/>
    <sheet name="Balance Sheet" sheetId="5" r:id="rId4"/>
    <sheet name="Financial Analysis" sheetId="6" r:id="rId5"/>
    <sheet name="Trend Analysis" sheetId="7" r:id="rId6"/>
  </sheets>
  <definedNames>
    <definedName name="_xlnm.Print_Area" localSheetId="0">Data!$A$1:$I$32</definedName>
  </definedNames>
  <calcPr calcId="152511"/>
</workbook>
</file>

<file path=xl/calcChain.xml><?xml version="1.0" encoding="utf-8"?>
<calcChain xmlns="http://schemas.openxmlformats.org/spreadsheetml/2006/main">
  <c r="C5" i="7" l="1"/>
  <c r="D5" i="7"/>
  <c r="E5" i="7"/>
  <c r="F5" i="7"/>
  <c r="B5" i="7"/>
  <c r="C8" i="7"/>
  <c r="D8" i="7"/>
  <c r="E8" i="7"/>
  <c r="F8" i="7"/>
  <c r="B8" i="7"/>
  <c r="C14" i="7"/>
  <c r="D14" i="7"/>
  <c r="E14" i="7"/>
  <c r="F14" i="7"/>
  <c r="B14" i="7"/>
  <c r="C17" i="7"/>
  <c r="D17" i="7"/>
  <c r="E17" i="7"/>
  <c r="F17" i="7"/>
  <c r="B17" i="7"/>
  <c r="C11" i="7"/>
  <c r="D11" i="7"/>
  <c r="E11" i="7"/>
  <c r="F11" i="7"/>
  <c r="B11" i="7"/>
  <c r="F7" i="3" l="1"/>
  <c r="E7" i="3"/>
  <c r="D7" i="3"/>
  <c r="B7" i="3" l="1"/>
  <c r="D18" i="7" l="1"/>
  <c r="E18" i="7"/>
  <c r="F18" i="7"/>
  <c r="C18" i="7"/>
  <c r="D15" i="7"/>
  <c r="E15" i="7"/>
  <c r="F15" i="7"/>
  <c r="C15" i="7"/>
  <c r="D12" i="7"/>
  <c r="E12" i="7"/>
  <c r="F12" i="7"/>
  <c r="C12" i="7"/>
  <c r="D9" i="7"/>
  <c r="E9" i="7"/>
  <c r="F9" i="7"/>
  <c r="C9" i="7"/>
  <c r="D6" i="7"/>
  <c r="E6" i="7"/>
  <c r="F6" i="7"/>
  <c r="C6" i="7"/>
  <c r="D6" i="6" l="1"/>
  <c r="D8" i="6"/>
  <c r="E8" i="6"/>
  <c r="F8" i="6"/>
  <c r="G8" i="6"/>
  <c r="D5" i="6"/>
  <c r="E5" i="6"/>
  <c r="F5" i="6"/>
  <c r="G5" i="6"/>
  <c r="C8" i="6"/>
  <c r="C5" i="6"/>
  <c r="B19" i="1"/>
  <c r="C33" i="5"/>
  <c r="D33" i="5"/>
  <c r="E33" i="5"/>
  <c r="F33" i="5"/>
  <c r="C29" i="5"/>
  <c r="D29" i="5"/>
  <c r="E29" i="5"/>
  <c r="F29" i="5"/>
  <c r="C26" i="5"/>
  <c r="D26" i="5"/>
  <c r="E26" i="5"/>
  <c r="F26" i="5"/>
  <c r="C25" i="5"/>
  <c r="D25" i="5"/>
  <c r="E25" i="5"/>
  <c r="F25" i="5"/>
  <c r="C24" i="5"/>
  <c r="C27" i="5" s="1"/>
  <c r="C30" i="5" s="1"/>
  <c r="D24" i="5"/>
  <c r="D27" i="5" s="1"/>
  <c r="D30" i="5" s="1"/>
  <c r="E24" i="5"/>
  <c r="E27" i="5" s="1"/>
  <c r="E30" i="5" s="1"/>
  <c r="F24" i="5"/>
  <c r="F27" i="5" s="1"/>
  <c r="F30" i="5" s="1"/>
  <c r="C17" i="5"/>
  <c r="D17" i="5"/>
  <c r="E17" i="5"/>
  <c r="F17" i="5"/>
  <c r="C16" i="5"/>
  <c r="D16" i="5"/>
  <c r="E16" i="5"/>
  <c r="F16" i="5"/>
  <c r="C15" i="5"/>
  <c r="C18" i="5" s="1"/>
  <c r="D15" i="5"/>
  <c r="D18" i="5" s="1"/>
  <c r="E15" i="5"/>
  <c r="E18" i="5" s="1"/>
  <c r="F15" i="5"/>
  <c r="F18" i="5" s="1"/>
  <c r="C12" i="5"/>
  <c r="D12" i="5"/>
  <c r="E12" i="5"/>
  <c r="F12" i="5"/>
  <c r="C11" i="5"/>
  <c r="D11" i="5"/>
  <c r="E11" i="5"/>
  <c r="F11" i="5"/>
  <c r="C10" i="5"/>
  <c r="D10" i="5"/>
  <c r="E10" i="5"/>
  <c r="F10" i="5"/>
  <c r="C9" i="5"/>
  <c r="D9" i="5"/>
  <c r="E9" i="5"/>
  <c r="F9" i="5"/>
  <c r="C8" i="5"/>
  <c r="C13" i="5" s="1"/>
  <c r="C19" i="5" s="1"/>
  <c r="C36" i="5" s="1"/>
  <c r="C35" i="5" s="1"/>
  <c r="C34" i="5" s="1"/>
  <c r="D10" i="4" s="1"/>
  <c r="D8" i="5"/>
  <c r="D13" i="5" s="1"/>
  <c r="D19" i="5" s="1"/>
  <c r="D36" i="5" s="1"/>
  <c r="D35" i="5" s="1"/>
  <c r="D34" i="5" s="1"/>
  <c r="E10" i="4" s="1"/>
  <c r="E8" i="5"/>
  <c r="E13" i="5" s="1"/>
  <c r="E19" i="5" s="1"/>
  <c r="E36" i="5" s="1"/>
  <c r="E35" i="5" s="1"/>
  <c r="E34" i="5" s="1"/>
  <c r="F10" i="4" s="1"/>
  <c r="F8" i="5"/>
  <c r="F13" i="5" s="1"/>
  <c r="F19" i="5" s="1"/>
  <c r="F36" i="5" s="1"/>
  <c r="F35" i="5" s="1"/>
  <c r="F34" i="5" s="1"/>
  <c r="G10" i="4" s="1"/>
  <c r="A10" i="3"/>
  <c r="A11" i="3"/>
  <c r="A12" i="3"/>
  <c r="A9" i="3"/>
  <c r="A7" i="3"/>
  <c r="A6" i="3"/>
  <c r="A34" i="5"/>
  <c r="A33" i="5"/>
  <c r="A29" i="5"/>
  <c r="A25" i="5"/>
  <c r="A26" i="5"/>
  <c r="A24" i="5"/>
  <c r="B15" i="5"/>
  <c r="A16" i="5"/>
  <c r="A17" i="5"/>
  <c r="A15" i="5"/>
  <c r="F8" i="1"/>
  <c r="E8" i="1"/>
  <c r="D8" i="1"/>
  <c r="C8" i="1"/>
  <c r="B8" i="1"/>
  <c r="B11" i="5" s="1"/>
  <c r="B9" i="5"/>
  <c r="B10" i="5"/>
  <c r="B12" i="5"/>
  <c r="A12" i="5"/>
  <c r="A9" i="5"/>
  <c r="A10" i="5"/>
  <c r="A11" i="5"/>
  <c r="A8" i="5"/>
  <c r="B33" i="5"/>
  <c r="B29" i="5"/>
  <c r="B25" i="5"/>
  <c r="B26" i="5"/>
  <c r="B24" i="5"/>
  <c r="B17" i="5"/>
  <c r="B16" i="5"/>
  <c r="B8" i="5"/>
  <c r="F9" i="3"/>
  <c r="F21" i="1"/>
  <c r="E20" i="1"/>
  <c r="E6" i="3" s="1"/>
  <c r="A15" i="3"/>
  <c r="F26" i="1"/>
  <c r="F15" i="3" s="1"/>
  <c r="B12" i="3"/>
  <c r="F11" i="3"/>
  <c r="F10" i="3"/>
  <c r="C25" i="1"/>
  <c r="D25" i="1"/>
  <c r="E25" i="1"/>
  <c r="F25" i="1"/>
  <c r="F12" i="3" s="1"/>
  <c r="E5" i="1"/>
  <c r="B13" i="5" l="1"/>
  <c r="B18" i="5"/>
  <c r="E23" i="1"/>
  <c r="E8" i="3"/>
  <c r="F6" i="6" s="1"/>
  <c r="D20" i="1"/>
  <c r="E22" i="1"/>
  <c r="B27" i="5"/>
  <c r="B30" i="5" s="1"/>
  <c r="F13" i="3"/>
  <c r="E24" i="1"/>
  <c r="E26" i="1"/>
  <c r="E15" i="3" s="1"/>
  <c r="F8" i="3"/>
  <c r="G6" i="6" s="1"/>
  <c r="B19" i="5" l="1"/>
  <c r="B36" i="5" s="1"/>
  <c r="B35" i="5" s="1"/>
  <c r="B34" i="5" s="1"/>
  <c r="C10" i="4" s="1"/>
  <c r="D6" i="4" s="1"/>
  <c r="F14" i="3"/>
  <c r="F16" i="3" s="1"/>
  <c r="F17" i="3" s="1"/>
  <c r="F18" i="3" s="1"/>
  <c r="C20" i="1"/>
  <c r="D26" i="1"/>
  <c r="D15" i="3" s="1"/>
  <c r="D21" i="1"/>
  <c r="D23" i="1"/>
  <c r="D24" i="1"/>
  <c r="D22" i="1"/>
  <c r="E13" i="3"/>
  <c r="E14" i="3" s="1"/>
  <c r="E16" i="3" s="1"/>
  <c r="E17" i="3" s="1"/>
  <c r="E18" i="3" s="1"/>
  <c r="G7" i="4" l="1"/>
  <c r="G8" i="4" s="1"/>
  <c r="G9" i="4" s="1"/>
  <c r="G7" i="6"/>
  <c r="F7" i="4"/>
  <c r="F8" i="4" s="1"/>
  <c r="F9" i="4" s="1"/>
  <c r="F7" i="6"/>
  <c r="C18" i="1"/>
  <c r="D13" i="3"/>
  <c r="D8" i="3"/>
  <c r="E6" i="6" s="1"/>
  <c r="C24" i="1"/>
  <c r="C21" i="1"/>
  <c r="C7" i="3" s="1"/>
  <c r="C23" i="1"/>
  <c r="B20" i="1"/>
  <c r="C22" i="1"/>
  <c r="C26" i="1"/>
  <c r="C15" i="3" s="1"/>
  <c r="C6" i="3"/>
  <c r="C13" i="3" l="1"/>
  <c r="D14" i="3"/>
  <c r="D16" i="3" s="1"/>
  <c r="D17" i="3" s="1"/>
  <c r="D18" i="3" s="1"/>
  <c r="C8" i="3"/>
  <c r="B22" i="1"/>
  <c r="B9" i="3" s="1"/>
  <c r="B21" i="1"/>
  <c r="B23" i="1"/>
  <c r="B10" i="3" s="1"/>
  <c r="B26" i="1"/>
  <c r="B15" i="3" s="1"/>
  <c r="B24" i="1"/>
  <c r="B11" i="3" s="1"/>
  <c r="E7" i="4" l="1"/>
  <c r="E8" i="4" s="1"/>
  <c r="E9" i="4" s="1"/>
  <c r="E7" i="6"/>
  <c r="C14" i="3"/>
  <c r="C16" i="3" s="1"/>
  <c r="C17" i="3" s="1"/>
  <c r="C18" i="3" s="1"/>
  <c r="B13" i="3"/>
  <c r="B8" i="3"/>
  <c r="C6" i="6" s="1"/>
  <c r="D7" i="4" l="1"/>
  <c r="D7" i="6"/>
  <c r="B14" i="3"/>
  <c r="B16" i="3" s="1"/>
  <c r="B17" i="3" s="1"/>
  <c r="B18" i="3" s="1"/>
  <c r="D8" i="4" l="1"/>
  <c r="D9" i="4" s="1"/>
  <c r="C19" i="1" s="1"/>
  <c r="C7" i="4"/>
  <c r="C6" i="4" s="1"/>
  <c r="C7" i="6"/>
  <c r="G6" i="4"/>
  <c r="E6" i="4"/>
  <c r="F6" i="4"/>
  <c r="B18" i="1" l="1"/>
  <c r="C8" i="4"/>
  <c r="E18" i="1"/>
  <c r="E19" i="1"/>
  <c r="D18" i="1"/>
  <c r="D19" i="1"/>
  <c r="F18" i="1"/>
  <c r="F19" i="1"/>
</calcChain>
</file>

<file path=xl/sharedStrings.xml><?xml version="1.0" encoding="utf-8"?>
<sst xmlns="http://schemas.openxmlformats.org/spreadsheetml/2006/main" count="81" uniqueCount="60">
  <si>
    <t>Cash</t>
  </si>
  <si>
    <t>Accounts Receivable</t>
  </si>
  <si>
    <t>Supplies</t>
  </si>
  <si>
    <t>Accounts Payable</t>
  </si>
  <si>
    <t>Wages Payable</t>
  </si>
  <si>
    <t>Interest Expense</t>
  </si>
  <si>
    <t>Income Statement</t>
  </si>
  <si>
    <t>Balance Sheet</t>
  </si>
  <si>
    <t>Net Income</t>
  </si>
  <si>
    <t>Retained Earnings</t>
  </si>
  <si>
    <t>Dividends</t>
  </si>
  <si>
    <t>Cost of Goods Sold</t>
  </si>
  <si>
    <t>Gross Profit</t>
  </si>
  <si>
    <t>Income from Operations</t>
  </si>
  <si>
    <t>Statement of Retained Earnings</t>
  </si>
  <si>
    <t>ASSETS</t>
  </si>
  <si>
    <t>Current Assets:</t>
  </si>
  <si>
    <t>Total Current Assets</t>
  </si>
  <si>
    <t>Property, Plant &amp; Equipment:</t>
  </si>
  <si>
    <t>Total Property, Plant &amp; Equipment</t>
  </si>
  <si>
    <t>Total Assets</t>
  </si>
  <si>
    <t>LIABILITIES</t>
  </si>
  <si>
    <t>Current Liabilities:</t>
  </si>
  <si>
    <t>Total Liabilities</t>
  </si>
  <si>
    <t>STOCKHOLDERS' EQUITY</t>
  </si>
  <si>
    <t>Common Stock</t>
  </si>
  <si>
    <t>Total Stockholders' Equity</t>
  </si>
  <si>
    <t>Total Liabilities &amp; Stockholders' Equity</t>
  </si>
  <si>
    <t>Current Ratio</t>
  </si>
  <si>
    <t>Gross Profit Percentage</t>
  </si>
  <si>
    <t>Profit Margin</t>
  </si>
  <si>
    <t>Debt to Total Assets</t>
  </si>
  <si>
    <t>Equipment</t>
  </si>
  <si>
    <t>Accumulated Depreciation—Equipment</t>
  </si>
  <si>
    <t>Unearned Revenue</t>
  </si>
  <si>
    <t>Inventory</t>
  </si>
  <si>
    <t>Depreciation Expense—Equipment</t>
  </si>
  <si>
    <t>Sales</t>
  </si>
  <si>
    <t>Total Operating Expenses</t>
  </si>
  <si>
    <t>Total Current Liabilities</t>
  </si>
  <si>
    <t>Long-Term Liabilities:</t>
  </si>
  <si>
    <t>PBA Coffee</t>
  </si>
  <si>
    <t>Trial Balance</t>
  </si>
  <si>
    <t>(in thousands)</t>
  </si>
  <si>
    <t>Notes Payable (due in 2020)</t>
  </si>
  <si>
    <t>Operating Expenses</t>
  </si>
  <si>
    <t>Administrative Expenses</t>
  </si>
  <si>
    <t>Selling Expenses</t>
  </si>
  <si>
    <t>For the Year Ended December 31</t>
  </si>
  <si>
    <t>Income Tax Expense</t>
  </si>
  <si>
    <t>Income before Taxes</t>
  </si>
  <si>
    <t>January 1</t>
  </si>
  <si>
    <t>December 31</t>
  </si>
  <si>
    <t>Prepaid Expenses</t>
  </si>
  <si>
    <t>Long-term Investments</t>
  </si>
  <si>
    <t>Percent Increase</t>
  </si>
  <si>
    <t>Selected Trend Analysis</t>
  </si>
  <si>
    <t>Selected Financial Analysis</t>
  </si>
  <si>
    <t>Note to Judge: Some contestants may not use parentheses in their financial statement presentation.  As long as the calculations are correct, please do not deduct points.</t>
  </si>
  <si>
    <t>Note to Judge:  Some contestants may not use parentheses in their financial statement presentation.  As long as the calculations are correct, please do not deduct points.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</si>
</sst>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m\ d\,\ yyyy;@"/>
    <numFmt numFmtId="167" formatCode="0_);[Red]\(0\)"/>
  </numFmts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164" fontId="0" fillId="0" borderId="0" xfId="2" applyNumberFormat="1" applyFont="1"/>
    <xf numFmtId="165" fontId="0" fillId="0" borderId="0" xfId="1" applyNumberFormat="1" applyFont="1"/>
    <xf numFmtId="0" fontId="3" fillId="0" borderId="0" xfId="0" applyFont="1" applyAlignment="1">
      <alignment horizontal="left" vertical="center" wrapText="1"/>
    </xf>
    <xf numFmtId="44" fontId="0" fillId="0" borderId="0" xfId="2" applyFont="1"/>
    <xf numFmtId="165" fontId="0" fillId="0" borderId="1" xfId="1" applyNumberFormat="1" applyFont="1" applyBorder="1"/>
    <xf numFmtId="166" fontId="0" fillId="0" borderId="0" xfId="0" applyNumberFormat="1"/>
    <xf numFmtId="10" fontId="0" fillId="0" borderId="0" xfId="3" applyNumberFormat="1" applyFont="1"/>
    <xf numFmtId="43" fontId="0" fillId="0" borderId="0" xfId="0" applyNumberFormat="1"/>
    <xf numFmtId="43" fontId="0" fillId="0" borderId="0" xfId="1" applyNumberFormat="1" applyFont="1" applyAlignment="1">
      <alignment horizontal="left"/>
    </xf>
    <xf numFmtId="0" fontId="0" fillId="0" borderId="0" xfId="0" applyBorder="1"/>
    <xf numFmtId="165" fontId="0" fillId="0" borderId="0" xfId="1" applyNumberFormat="1" applyFont="1" applyBorder="1"/>
    <xf numFmtId="0" fontId="0" fillId="0" borderId="0" xfId="0" applyFill="1" applyBorder="1"/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38" fontId="4" fillId="0" borderId="0" xfId="0" applyNumberFormat="1" applyFont="1" applyAlignment="1">
      <alignment horizontal="right"/>
    </xf>
    <xf numFmtId="38" fontId="0" fillId="0" borderId="0" xfId="0" applyNumberFormat="1" applyAlignment="1">
      <alignment horizontal="right"/>
    </xf>
    <xf numFmtId="0" fontId="4" fillId="0" borderId="0" xfId="0" applyFont="1" applyFill="1" applyAlignment="1">
      <alignment horizontal="left" indent="1"/>
    </xf>
    <xf numFmtId="16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38" fontId="3" fillId="0" borderId="3" xfId="0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38" fontId="3" fillId="0" borderId="0" xfId="0" applyNumberFormat="1" applyFont="1" applyFill="1" applyAlignment="1">
      <alignment horizontal="right" vertical="center"/>
    </xf>
    <xf numFmtId="165" fontId="3" fillId="0" borderId="0" xfId="1" applyNumberFormat="1" applyFont="1" applyFill="1" applyAlignment="1">
      <alignment horizontal="right" vertical="center"/>
    </xf>
    <xf numFmtId="37" fontId="0" fillId="0" borderId="0" xfId="0" applyNumberFormat="1" applyBorder="1"/>
    <xf numFmtId="37" fontId="0" fillId="0" borderId="0" xfId="0" applyNumberFormat="1"/>
    <xf numFmtId="37" fontId="0" fillId="0" borderId="1" xfId="0" applyNumberFormat="1" applyBorder="1"/>
    <xf numFmtId="49" fontId="0" fillId="0" borderId="0" xfId="0" applyNumberFormat="1"/>
    <xf numFmtId="5" fontId="0" fillId="0" borderId="4" xfId="0" applyNumberFormat="1" applyBorder="1"/>
    <xf numFmtId="165" fontId="0" fillId="0" borderId="4" xfId="0" applyNumberFormat="1" applyBorder="1"/>
    <xf numFmtId="3" fontId="0" fillId="0" borderId="1" xfId="1" applyNumberFormat="1" applyFont="1" applyBorder="1"/>
    <xf numFmtId="3" fontId="0" fillId="0" borderId="0" xfId="1" applyNumberFormat="1" applyFont="1" applyBorder="1"/>
    <xf numFmtId="0" fontId="0" fillId="0" borderId="0" xfId="0" applyAlignment="1">
      <alignment horizontal="center"/>
    </xf>
    <xf numFmtId="9" fontId="0" fillId="0" borderId="0" xfId="3" applyFont="1" applyBorder="1"/>
    <xf numFmtId="5" fontId="0" fillId="0" borderId="0" xfId="0" applyNumberFormat="1" applyBorder="1"/>
    <xf numFmtId="9" fontId="0" fillId="0" borderId="0" xfId="3" applyFont="1"/>
    <xf numFmtId="43" fontId="0" fillId="0" borderId="0" xfId="1" applyFont="1"/>
    <xf numFmtId="0" fontId="0" fillId="0" borderId="0" xfId="0" applyAlignment="1">
      <alignment horizontal="center"/>
    </xf>
    <xf numFmtId="2" fontId="0" fillId="0" borderId="0" xfId="3" applyNumberFormat="1" applyFont="1"/>
    <xf numFmtId="164" fontId="2" fillId="0" borderId="2" xfId="2" applyNumberFormat="1" applyFont="1" applyBorder="1" applyAlignment="1">
      <alignment horizontal="right" vertical="center"/>
    </xf>
    <xf numFmtId="41" fontId="0" fillId="0" borderId="0" xfId="1" applyNumberFormat="1" applyFont="1"/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selection activeCell="A31" sqref="A31:I31"/>
    </sheetView>
  </sheetViews>
  <sheetFormatPr defaultRowHeight="15" x14ac:dyDescent="0.25"/>
  <cols>
    <col min="1" max="1" width="42.7109375" customWidth="1"/>
    <col min="2" max="5" width="12" style="21" customWidth="1"/>
    <col min="6" max="6" width="12" customWidth="1"/>
  </cols>
  <sheetData>
    <row r="1" spans="1:9" ht="18.75" x14ac:dyDescent="0.25">
      <c r="A1" s="50" t="s">
        <v>41</v>
      </c>
      <c r="B1" s="50"/>
      <c r="C1" s="50"/>
      <c r="D1" s="50"/>
      <c r="E1" s="50"/>
      <c r="F1" s="50"/>
      <c r="G1" s="18"/>
      <c r="H1" s="18"/>
      <c r="I1" s="18"/>
    </row>
    <row r="2" spans="1:9" ht="18.75" x14ac:dyDescent="0.25">
      <c r="A2" s="50" t="s">
        <v>42</v>
      </c>
      <c r="B2" s="50"/>
      <c r="C2" s="50"/>
      <c r="D2" s="50"/>
      <c r="E2" s="50"/>
      <c r="F2" s="50"/>
      <c r="G2" s="8"/>
      <c r="H2" s="8"/>
      <c r="I2" s="8"/>
    </row>
    <row r="3" spans="1:9" ht="18.75" x14ac:dyDescent="0.25">
      <c r="A3" s="51" t="s">
        <v>43</v>
      </c>
      <c r="B3" s="51"/>
      <c r="C3" s="51"/>
      <c r="D3" s="51"/>
      <c r="E3" s="51"/>
      <c r="F3" s="51"/>
      <c r="G3" s="8"/>
      <c r="H3" s="8"/>
      <c r="I3" s="8"/>
    </row>
    <row r="4" spans="1:9" ht="15" customHeight="1" x14ac:dyDescent="0.3">
      <c r="A4" s="22"/>
      <c r="B4" s="23">
        <v>2012</v>
      </c>
      <c r="C4" s="23">
        <v>2013</v>
      </c>
      <c r="D4" s="23">
        <v>2014</v>
      </c>
      <c r="E4" s="23">
        <v>2015</v>
      </c>
      <c r="F4" s="24">
        <v>2016</v>
      </c>
      <c r="G4" s="2"/>
    </row>
    <row r="5" spans="1:9" ht="15" customHeight="1" x14ac:dyDescent="0.3">
      <c r="A5" s="25" t="s">
        <v>0</v>
      </c>
      <c r="B5" s="26">
        <v>23612</v>
      </c>
      <c r="C5" s="26">
        <v>24887</v>
      </c>
      <c r="D5" s="26">
        <v>27660</v>
      </c>
      <c r="E5" s="26">
        <f>F5*0.82</f>
        <v>26558.98</v>
      </c>
      <c r="F5" s="27">
        <v>32389</v>
      </c>
      <c r="G5" s="2"/>
    </row>
    <row r="6" spans="1:9" ht="15" customHeight="1" x14ac:dyDescent="0.3">
      <c r="A6" s="28" t="s">
        <v>1</v>
      </c>
      <c r="B6" s="29">
        <v>7511</v>
      </c>
      <c r="C6" s="29">
        <v>8493</v>
      </c>
      <c r="D6" s="29">
        <v>9002</v>
      </c>
      <c r="E6" s="29">
        <v>9409</v>
      </c>
      <c r="F6" s="30">
        <v>10068</v>
      </c>
      <c r="G6" s="2"/>
    </row>
    <row r="7" spans="1:9" ht="15" customHeight="1" x14ac:dyDescent="0.3">
      <c r="A7" s="28" t="s">
        <v>35</v>
      </c>
      <c r="B7" s="29">
        <v>14539</v>
      </c>
      <c r="C7" s="29">
        <v>15101</v>
      </c>
      <c r="D7" s="29">
        <v>15979</v>
      </c>
      <c r="E7" s="29">
        <v>16587</v>
      </c>
      <c r="F7" s="30">
        <v>16329</v>
      </c>
      <c r="G7" s="2"/>
    </row>
    <row r="8" spans="1:9" ht="15" customHeight="1" x14ac:dyDescent="0.3">
      <c r="A8" s="28" t="s">
        <v>53</v>
      </c>
      <c r="B8" s="29">
        <f>B5*0.145</f>
        <v>3423.74</v>
      </c>
      <c r="C8" s="29">
        <f>C5*0.15</f>
        <v>3733.0499999999997</v>
      </c>
      <c r="D8" s="29">
        <f>D5*0.153</f>
        <v>4231.9799999999996</v>
      </c>
      <c r="E8" s="29">
        <f>E5*0.15</f>
        <v>3983.8469999999998</v>
      </c>
      <c r="F8" s="29">
        <f>F5*0.151</f>
        <v>4890.7389999999996</v>
      </c>
      <c r="G8" s="2"/>
    </row>
    <row r="9" spans="1:9" ht="15" customHeight="1" x14ac:dyDescent="0.3">
      <c r="A9" s="28" t="s">
        <v>2</v>
      </c>
      <c r="B9" s="29">
        <v>2869</v>
      </c>
      <c r="C9" s="29">
        <v>2987</v>
      </c>
      <c r="D9" s="29">
        <v>3326</v>
      </c>
      <c r="E9" s="29">
        <v>3678</v>
      </c>
      <c r="F9" s="30">
        <v>3960</v>
      </c>
      <c r="G9" s="2"/>
    </row>
    <row r="10" spans="1:9" ht="15" customHeight="1" x14ac:dyDescent="0.3">
      <c r="A10" s="28" t="s">
        <v>54</v>
      </c>
      <c r="B10" s="29">
        <v>3113</v>
      </c>
      <c r="C10" s="29">
        <v>3248</v>
      </c>
      <c r="D10" s="29">
        <v>3289</v>
      </c>
      <c r="E10" s="29">
        <v>3300</v>
      </c>
      <c r="F10" s="30">
        <v>4397</v>
      </c>
      <c r="G10" s="2"/>
    </row>
    <row r="11" spans="1:9" ht="15" customHeight="1" x14ac:dyDescent="0.3">
      <c r="A11" s="28" t="s">
        <v>32</v>
      </c>
      <c r="B11" s="29">
        <v>40998</v>
      </c>
      <c r="C11" s="29">
        <v>42548</v>
      </c>
      <c r="D11" s="29">
        <v>43647</v>
      </c>
      <c r="E11" s="29">
        <v>45896</v>
      </c>
      <c r="F11" s="30">
        <v>46486</v>
      </c>
      <c r="G11" s="2"/>
    </row>
    <row r="12" spans="1:9" ht="15" customHeight="1" x14ac:dyDescent="0.3">
      <c r="A12" s="28" t="s">
        <v>33</v>
      </c>
      <c r="B12" s="29">
        <v>4250</v>
      </c>
      <c r="C12" s="29">
        <v>4400</v>
      </c>
      <c r="D12" s="29">
        <v>4800</v>
      </c>
      <c r="E12" s="29">
        <v>5500</v>
      </c>
      <c r="F12" s="30">
        <v>6000</v>
      </c>
      <c r="G12" s="2"/>
    </row>
    <row r="13" spans="1:9" ht="15" customHeight="1" x14ac:dyDescent="0.3">
      <c r="A13" s="28" t="s">
        <v>3</v>
      </c>
      <c r="B13" s="29">
        <v>15023</v>
      </c>
      <c r="C13" s="29">
        <v>15567</v>
      </c>
      <c r="D13" s="29">
        <v>16590</v>
      </c>
      <c r="E13" s="29">
        <v>18879</v>
      </c>
      <c r="F13" s="30">
        <v>20187</v>
      </c>
      <c r="G13" s="2"/>
    </row>
    <row r="14" spans="1:9" ht="15" customHeight="1" x14ac:dyDescent="0.3">
      <c r="A14" s="28" t="s">
        <v>4</v>
      </c>
      <c r="B14" s="29">
        <v>20437</v>
      </c>
      <c r="C14" s="29">
        <v>21539</v>
      </c>
      <c r="D14" s="29">
        <v>22619</v>
      </c>
      <c r="E14" s="29">
        <v>23789</v>
      </c>
      <c r="F14" s="30">
        <v>25432</v>
      </c>
      <c r="G14" s="2"/>
    </row>
    <row r="15" spans="1:9" ht="15" customHeight="1" x14ac:dyDescent="0.3">
      <c r="A15" s="28" t="s">
        <v>34</v>
      </c>
      <c r="B15" s="29">
        <v>2033</v>
      </c>
      <c r="C15" s="29">
        <v>2239</v>
      </c>
      <c r="D15" s="29">
        <v>2479</v>
      </c>
      <c r="E15" s="29">
        <v>2398</v>
      </c>
      <c r="F15" s="30">
        <v>2548</v>
      </c>
      <c r="G15" s="2"/>
    </row>
    <row r="16" spans="1:9" ht="15" customHeight="1" x14ac:dyDescent="0.3">
      <c r="A16" s="28" t="s">
        <v>44</v>
      </c>
      <c r="B16" s="29">
        <v>28000</v>
      </c>
      <c r="C16" s="29">
        <v>28750</v>
      </c>
      <c r="D16" s="29">
        <v>30000</v>
      </c>
      <c r="E16" s="29">
        <v>32000</v>
      </c>
      <c r="F16" s="30">
        <v>29000</v>
      </c>
      <c r="G16" s="2"/>
    </row>
    <row r="17" spans="1:9" ht="15" customHeight="1" x14ac:dyDescent="0.3">
      <c r="A17" s="28" t="s">
        <v>25</v>
      </c>
      <c r="B17" s="29">
        <v>8000</v>
      </c>
      <c r="C17" s="29">
        <v>8000</v>
      </c>
      <c r="D17" s="29">
        <v>10000</v>
      </c>
      <c r="E17" s="29">
        <v>10000</v>
      </c>
      <c r="F17" s="30">
        <v>10000</v>
      </c>
      <c r="G17" s="2"/>
    </row>
    <row r="18" spans="1:9" ht="15" customHeight="1" x14ac:dyDescent="0.3">
      <c r="A18" s="28" t="s">
        <v>9</v>
      </c>
      <c r="B18" s="29">
        <f>'Retained Earnings Statement'!C6</f>
        <v>4344.1971789568015</v>
      </c>
      <c r="C18" s="29">
        <f>'Retained Earnings Statement'!D6</f>
        <v>18322.739999999991</v>
      </c>
      <c r="D18" s="29">
        <f>'Retained Earnings Statement'!E6</f>
        <v>20502.050000000003</v>
      </c>
      <c r="E18" s="29">
        <f>'Retained Earnings Statement'!F6</f>
        <v>20646.979999999996</v>
      </c>
      <c r="F18" s="29">
        <f>'Retained Earnings Statement'!G6</f>
        <v>16846.82699999999</v>
      </c>
      <c r="G18" s="2"/>
    </row>
    <row r="19" spans="1:9" ht="15" customHeight="1" x14ac:dyDescent="0.3">
      <c r="A19" s="28" t="s">
        <v>10</v>
      </c>
      <c r="B19" s="29">
        <f>'Retained Earnings Statement'!C9</f>
        <v>0</v>
      </c>
      <c r="C19" s="29">
        <f>'Retained Earnings Statement'!D9</f>
        <v>12398.237359412786</v>
      </c>
      <c r="D19" s="29">
        <f>'Retained Earnings Statement'!E9</f>
        <v>15639.764215500007</v>
      </c>
      <c r="E19" s="29">
        <f>'Retained Earnings Statement'!F9</f>
        <v>20198.923024000011</v>
      </c>
      <c r="F19" s="29">
        <f>'Retained Earnings Statement'!G9</f>
        <v>9939.3665999999939</v>
      </c>
      <c r="G19" s="2"/>
    </row>
    <row r="20" spans="1:9" ht="15" customHeight="1" x14ac:dyDescent="0.3">
      <c r="A20" s="28" t="s">
        <v>37</v>
      </c>
      <c r="B20" s="29">
        <f>C20*0.895</f>
        <v>93074.42049840001</v>
      </c>
      <c r="C20" s="29">
        <f>D20*0.88</f>
        <v>103993.76592000001</v>
      </c>
      <c r="D20" s="29">
        <f>E20*0.89</f>
        <v>118174.73400000001</v>
      </c>
      <c r="E20" s="29">
        <f>F20*0.9</f>
        <v>132780.6</v>
      </c>
      <c r="F20" s="30">
        <v>147534</v>
      </c>
      <c r="G20" s="2"/>
    </row>
    <row r="21" spans="1:9" ht="15" customHeight="1" x14ac:dyDescent="0.3">
      <c r="A21" s="28" t="s">
        <v>11</v>
      </c>
      <c r="B21" s="30">
        <f>0.386*B20</f>
        <v>35926.726312382401</v>
      </c>
      <c r="C21" s="30">
        <f>0.399*C20</f>
        <v>41493.512602080002</v>
      </c>
      <c r="D21" s="30">
        <f>0.403*D20</f>
        <v>47624.417802000011</v>
      </c>
      <c r="E21" s="30">
        <v>54307</v>
      </c>
      <c r="F21" s="30">
        <f>0.41*F20</f>
        <v>60488.939999999995</v>
      </c>
      <c r="G21" s="2"/>
    </row>
    <row r="22" spans="1:9" ht="15" customHeight="1" x14ac:dyDescent="0.3">
      <c r="A22" s="28" t="s">
        <v>45</v>
      </c>
      <c r="B22" s="30">
        <f>B20*0.299</f>
        <v>27829.251729021602</v>
      </c>
      <c r="C22" s="30">
        <f>C20*0.292</f>
        <v>30366.179648639998</v>
      </c>
      <c r="D22" s="30">
        <f>D20*0.29</f>
        <v>34270.672859999999</v>
      </c>
      <c r="E22" s="30">
        <f>E20*0.287</f>
        <v>38108.032200000001</v>
      </c>
      <c r="F22" s="30">
        <v>41310</v>
      </c>
      <c r="G22" s="2"/>
    </row>
    <row r="23" spans="1:9" ht="15" customHeight="1" x14ac:dyDescent="0.3">
      <c r="A23" s="28" t="s">
        <v>46</v>
      </c>
      <c r="B23" s="30">
        <f>B20*0.072</f>
        <v>6701.3582758848006</v>
      </c>
      <c r="C23" s="30">
        <f>C20*0.078</f>
        <v>8111.5137417600008</v>
      </c>
      <c r="D23" s="30">
        <f>D20*0.0823</f>
        <v>9725.7806082000006</v>
      </c>
      <c r="E23" s="30">
        <f>E20*0.0875</f>
        <v>11618.3025</v>
      </c>
      <c r="F23" s="30">
        <v>14016</v>
      </c>
      <c r="G23" s="2"/>
    </row>
    <row r="24" spans="1:9" ht="15" customHeight="1" x14ac:dyDescent="0.3">
      <c r="A24" s="28" t="s">
        <v>47</v>
      </c>
      <c r="B24" s="30">
        <f>0.025*B20</f>
        <v>2326.8605124600003</v>
      </c>
      <c r="C24" s="30">
        <f>0.027*C20</f>
        <v>2807.8316798400001</v>
      </c>
      <c r="D24" s="30">
        <f>0.028*D20</f>
        <v>3308.8925520000003</v>
      </c>
      <c r="E24" s="30">
        <f>0.032*E20</f>
        <v>4248.9792000000007</v>
      </c>
      <c r="F24" s="30">
        <v>4426</v>
      </c>
      <c r="G24" s="2"/>
    </row>
    <row r="25" spans="1:9" ht="15" customHeight="1" x14ac:dyDescent="0.3">
      <c r="A25" s="28" t="s">
        <v>36</v>
      </c>
      <c r="B25" s="30">
        <v>125</v>
      </c>
      <c r="C25" s="30">
        <f>C12-B12</f>
        <v>150</v>
      </c>
      <c r="D25" s="30">
        <f>D12-C12</f>
        <v>400</v>
      </c>
      <c r="E25" s="30">
        <f>E12-D12</f>
        <v>700</v>
      </c>
      <c r="F25" s="30">
        <f>F12-E12</f>
        <v>500</v>
      </c>
      <c r="G25" s="2"/>
    </row>
    <row r="26" spans="1:9" ht="18.75" x14ac:dyDescent="0.3">
      <c r="A26" s="3" t="s">
        <v>5</v>
      </c>
      <c r="B26" s="20">
        <f>B20*0.0021</f>
        <v>195.45628304664001</v>
      </c>
      <c r="C26" s="20">
        <f>C20*0.0023</f>
        <v>239.185661616</v>
      </c>
      <c r="D26" s="20">
        <f>D20*0.0025</f>
        <v>295.43683500000003</v>
      </c>
      <c r="E26" s="20">
        <f>E20*0.0028</f>
        <v>371.78568000000001</v>
      </c>
      <c r="F26" s="20">
        <f>F20*0.003</f>
        <v>442.60200000000003</v>
      </c>
      <c r="G26" s="2"/>
    </row>
    <row r="27" spans="1:9" ht="15" customHeight="1" x14ac:dyDescent="0.3">
      <c r="F27" s="4"/>
      <c r="G27" s="2"/>
      <c r="H27" s="49"/>
      <c r="I27" s="49"/>
    </row>
    <row r="28" spans="1:9" ht="18.75" x14ac:dyDescent="0.25">
      <c r="A28" s="48"/>
      <c r="B28" s="48"/>
      <c r="C28" s="48"/>
      <c r="D28" s="48"/>
      <c r="E28" s="48"/>
      <c r="F28" s="48"/>
      <c r="G28" s="48"/>
      <c r="H28" s="48"/>
      <c r="I28" s="48"/>
    </row>
    <row r="29" spans="1:9" ht="18.75" x14ac:dyDescent="0.25">
      <c r="A29" s="48"/>
      <c r="B29" s="48"/>
      <c r="C29" s="48"/>
      <c r="D29" s="48"/>
      <c r="E29" s="48"/>
      <c r="F29" s="48"/>
      <c r="G29" s="48"/>
      <c r="H29" s="48"/>
      <c r="I29" s="48"/>
    </row>
    <row r="30" spans="1:9" ht="18.75" x14ac:dyDescent="0.25">
      <c r="A30" s="48"/>
      <c r="B30" s="48"/>
      <c r="C30" s="48"/>
      <c r="D30" s="48"/>
      <c r="E30" s="48"/>
      <c r="F30" s="48"/>
      <c r="G30" s="48"/>
      <c r="H30" s="48"/>
      <c r="I30" s="48"/>
    </row>
    <row r="31" spans="1:9" s="5" customFormat="1" ht="18.75" x14ac:dyDescent="0.25">
      <c r="A31" s="48"/>
      <c r="B31" s="48"/>
      <c r="C31" s="48"/>
      <c r="D31" s="48"/>
      <c r="E31" s="48"/>
      <c r="F31" s="48"/>
      <c r="G31" s="48"/>
      <c r="H31" s="48"/>
      <c r="I31" s="48"/>
    </row>
    <row r="32" spans="1:9" ht="18.75" x14ac:dyDescent="0.25">
      <c r="A32" s="48"/>
      <c r="B32" s="48"/>
      <c r="C32" s="48"/>
      <c r="D32" s="48"/>
      <c r="E32" s="48"/>
      <c r="F32" s="48"/>
      <c r="G32" s="48"/>
      <c r="H32" s="48"/>
      <c r="I32" s="48"/>
    </row>
    <row r="33" spans="1:6" x14ac:dyDescent="0.25">
      <c r="A33" s="1"/>
      <c r="F33" s="1"/>
    </row>
    <row r="34" spans="1:6" x14ac:dyDescent="0.25">
      <c r="A34" s="1"/>
      <c r="F34" s="1"/>
    </row>
    <row r="35" spans="1:6" x14ac:dyDescent="0.25">
      <c r="A35" s="1"/>
      <c r="F35" s="1"/>
    </row>
    <row r="36" spans="1:6" x14ac:dyDescent="0.25">
      <c r="A36" s="1"/>
      <c r="F36" s="1"/>
    </row>
    <row r="37" spans="1:6" x14ac:dyDescent="0.25">
      <c r="A37" s="1"/>
      <c r="F37" s="1"/>
    </row>
    <row r="38" spans="1:6" x14ac:dyDescent="0.25">
      <c r="A38" s="1"/>
      <c r="F38" s="1"/>
    </row>
    <row r="39" spans="1:6" x14ac:dyDescent="0.25">
      <c r="A39" s="1"/>
      <c r="F39" s="1"/>
    </row>
    <row r="40" spans="1:6" x14ac:dyDescent="0.25">
      <c r="A40" s="1"/>
      <c r="F40" s="1"/>
    </row>
    <row r="41" spans="1:6" x14ac:dyDescent="0.25">
      <c r="A41" s="1"/>
      <c r="F41" s="1"/>
    </row>
  </sheetData>
  <mergeCells count="9">
    <mergeCell ref="A32:I32"/>
    <mergeCell ref="H27:I27"/>
    <mergeCell ref="A28:I28"/>
    <mergeCell ref="A29:I29"/>
    <mergeCell ref="A1:F1"/>
    <mergeCell ref="A2:F2"/>
    <mergeCell ref="A3:F3"/>
    <mergeCell ref="A30:I30"/>
    <mergeCell ref="A31:I31"/>
  </mergeCells>
  <pageMargins left="0.7" right="0.7" top="0.75" bottom="0.75" header="0.3" footer="0.3"/>
  <pageSetup orientation="portrait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A2" sqref="A2:F2"/>
    </sheetView>
  </sheetViews>
  <sheetFormatPr defaultRowHeight="15" x14ac:dyDescent="0.25"/>
  <cols>
    <col min="1" max="1" width="29.5703125" bestFit="1" customWidth="1"/>
    <col min="2" max="2" width="12.140625" customWidth="1"/>
    <col min="3" max="8" width="9.7109375" customWidth="1"/>
  </cols>
  <sheetData>
    <row r="1" spans="1:14" x14ac:dyDescent="0.25">
      <c r="A1" s="53" t="s">
        <v>41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</row>
    <row r="2" spans="1:14" x14ac:dyDescent="0.25">
      <c r="A2" s="53" t="s">
        <v>6</v>
      </c>
      <c r="B2" s="53"/>
      <c r="C2" s="53"/>
      <c r="D2" s="53"/>
      <c r="E2" s="53"/>
      <c r="F2" s="53"/>
      <c r="G2" s="1"/>
      <c r="H2" s="1"/>
      <c r="I2" s="1"/>
      <c r="J2" s="1"/>
      <c r="K2" s="1"/>
      <c r="L2" s="1"/>
      <c r="M2" s="1"/>
      <c r="N2" s="1"/>
    </row>
    <row r="3" spans="1:14" x14ac:dyDescent="0.25">
      <c r="A3" s="53" t="s">
        <v>48</v>
      </c>
      <c r="B3" s="53"/>
      <c r="C3" s="53"/>
      <c r="D3" s="53"/>
      <c r="E3" s="53"/>
      <c r="F3" s="53"/>
      <c r="G3" s="1"/>
      <c r="H3" s="1"/>
      <c r="I3" s="1"/>
      <c r="J3" s="1"/>
      <c r="K3" s="1"/>
      <c r="L3" s="1"/>
      <c r="M3" s="1"/>
      <c r="N3" s="1"/>
    </row>
    <row r="4" spans="1:14" x14ac:dyDescent="0.25">
      <c r="A4" s="53" t="s">
        <v>43</v>
      </c>
      <c r="B4" s="53"/>
      <c r="C4" s="53"/>
      <c r="D4" s="53"/>
      <c r="E4" s="53"/>
      <c r="F4" s="53"/>
      <c r="G4" s="1"/>
    </row>
    <row r="5" spans="1:14" x14ac:dyDescent="0.25">
      <c r="B5" s="19">
        <v>2012</v>
      </c>
      <c r="C5" s="19">
        <v>2013</v>
      </c>
      <c r="D5" s="19">
        <v>2014</v>
      </c>
      <c r="E5" s="19">
        <v>2015</v>
      </c>
      <c r="F5" s="19">
        <v>2016</v>
      </c>
    </row>
    <row r="6" spans="1:14" x14ac:dyDescent="0.25">
      <c r="A6" s="15" t="str">
        <f>Data!A20</f>
        <v>Sales</v>
      </c>
      <c r="B6" s="31">
        <v>93074</v>
      </c>
      <c r="C6" s="31">
        <f>Data!C20</f>
        <v>103993.76592000001</v>
      </c>
      <c r="D6" s="31">
        <v>118175</v>
      </c>
      <c r="E6" s="31">
        <f>Data!E20</f>
        <v>132780.6</v>
      </c>
      <c r="F6" s="31">
        <v>147534</v>
      </c>
      <c r="G6" s="32"/>
    </row>
    <row r="7" spans="1:14" x14ac:dyDescent="0.25">
      <c r="A7" s="15" t="str">
        <f>Data!A21</f>
        <v>Cost of Goods Sold</v>
      </c>
      <c r="B7" s="33">
        <f>Data!B21*-1</f>
        <v>-35926.726312382401</v>
      </c>
      <c r="C7" s="33">
        <f>Data!C21*-1</f>
        <v>-41493.512602080002</v>
      </c>
      <c r="D7" s="33">
        <f>47624*-1</f>
        <v>-47624</v>
      </c>
      <c r="E7" s="33">
        <f>54307*-1</f>
        <v>-54307</v>
      </c>
      <c r="F7" s="33">
        <f>60489*-1</f>
        <v>-60489</v>
      </c>
      <c r="G7" s="32"/>
    </row>
    <row r="8" spans="1:14" x14ac:dyDescent="0.25">
      <c r="A8" s="15" t="s">
        <v>12</v>
      </c>
      <c r="B8" s="31">
        <f>SUM(B6:B7)</f>
        <v>57147.273687617599</v>
      </c>
      <c r="C8" s="31">
        <f t="shared" ref="C8:F8" si="0">SUM(C6:C7)</f>
        <v>62500.253317920004</v>
      </c>
      <c r="D8" s="31">
        <f t="shared" si="0"/>
        <v>70551</v>
      </c>
      <c r="E8" s="31">
        <f t="shared" si="0"/>
        <v>78473.600000000006</v>
      </c>
      <c r="F8" s="31">
        <f t="shared" si="0"/>
        <v>87045</v>
      </c>
      <c r="G8" s="32"/>
    </row>
    <row r="9" spans="1:14" x14ac:dyDescent="0.25">
      <c r="A9" s="15" t="str">
        <f>Data!A22</f>
        <v>Operating Expenses</v>
      </c>
      <c r="B9" s="31">
        <f>Data!B22</f>
        <v>27829.251729021602</v>
      </c>
      <c r="C9" s="31">
        <v>30366</v>
      </c>
      <c r="D9" s="31">
        <v>34271</v>
      </c>
      <c r="E9" s="31">
        <v>38108</v>
      </c>
      <c r="F9" s="31">
        <f>Data!F22</f>
        <v>41310</v>
      </c>
      <c r="G9" s="32"/>
    </row>
    <row r="10" spans="1:14" x14ac:dyDescent="0.25">
      <c r="A10" s="15" t="str">
        <f>Data!A23</f>
        <v>Administrative Expenses</v>
      </c>
      <c r="B10" s="31">
        <f>Data!B23</f>
        <v>6701.3582758848006</v>
      </c>
      <c r="C10" s="31">
        <v>8112</v>
      </c>
      <c r="D10" s="31">
        <v>9726</v>
      </c>
      <c r="E10" s="31">
        <v>11618</v>
      </c>
      <c r="F10" s="31">
        <f>Data!F23</f>
        <v>14016</v>
      </c>
      <c r="G10" s="32"/>
    </row>
    <row r="11" spans="1:14" x14ac:dyDescent="0.25">
      <c r="A11" s="15" t="str">
        <f>Data!A24</f>
        <v>Selling Expenses</v>
      </c>
      <c r="B11" s="31">
        <f>Data!B24</f>
        <v>2326.8605124600003</v>
      </c>
      <c r="C11" s="31">
        <v>2808</v>
      </c>
      <c r="D11" s="31">
        <v>3309</v>
      </c>
      <c r="E11" s="31">
        <v>4249</v>
      </c>
      <c r="F11" s="31">
        <f>Data!F24</f>
        <v>4426</v>
      </c>
      <c r="G11" s="32"/>
    </row>
    <row r="12" spans="1:14" x14ac:dyDescent="0.25">
      <c r="A12" s="15" t="str">
        <f>Data!A25</f>
        <v>Depreciation Expense—Equipment</v>
      </c>
      <c r="B12" s="33">
        <f>Data!B25</f>
        <v>125</v>
      </c>
      <c r="C12" s="33">
        <v>150</v>
      </c>
      <c r="D12" s="33">
        <v>400</v>
      </c>
      <c r="E12" s="33">
        <v>700</v>
      </c>
      <c r="F12" s="33">
        <f>Data!F25</f>
        <v>500</v>
      </c>
      <c r="G12" s="32"/>
    </row>
    <row r="13" spans="1:14" x14ac:dyDescent="0.25">
      <c r="A13" s="15" t="s">
        <v>38</v>
      </c>
      <c r="B13" s="33">
        <f>SUM(B9:B12)</f>
        <v>36982.470517366404</v>
      </c>
      <c r="C13" s="33">
        <f t="shared" ref="C13:F13" si="1">SUM(C9:C12)</f>
        <v>41436</v>
      </c>
      <c r="D13" s="33">
        <f t="shared" si="1"/>
        <v>47706</v>
      </c>
      <c r="E13" s="33">
        <f t="shared" si="1"/>
        <v>54675</v>
      </c>
      <c r="F13" s="33">
        <f t="shared" si="1"/>
        <v>60252</v>
      </c>
      <c r="G13" s="32"/>
    </row>
    <row r="14" spans="1:14" x14ac:dyDescent="0.25">
      <c r="A14" s="15" t="s">
        <v>13</v>
      </c>
      <c r="B14" s="31">
        <f>B8-B13</f>
        <v>20164.803170251194</v>
      </c>
      <c r="C14" s="31">
        <f t="shared" ref="C14:F14" si="2">C8-C13</f>
        <v>21064.253317920004</v>
      </c>
      <c r="D14" s="31">
        <f t="shared" si="2"/>
        <v>22845</v>
      </c>
      <c r="E14" s="31">
        <f t="shared" si="2"/>
        <v>23798.600000000006</v>
      </c>
      <c r="F14" s="31">
        <f t="shared" si="2"/>
        <v>26793</v>
      </c>
      <c r="G14" s="32"/>
    </row>
    <row r="15" spans="1:14" x14ac:dyDescent="0.25">
      <c r="A15" s="15" t="str">
        <f>Data!A26</f>
        <v>Interest Expense</v>
      </c>
      <c r="B15" s="33">
        <f>Data!B26*-1</f>
        <v>-195.45628304664001</v>
      </c>
      <c r="C15" s="33">
        <f>Data!C26*-1</f>
        <v>-239.185661616</v>
      </c>
      <c r="D15" s="33">
        <f>Data!D26*-1</f>
        <v>-295.43683500000003</v>
      </c>
      <c r="E15" s="33">
        <f>Data!E26*-1</f>
        <v>-371.78568000000001</v>
      </c>
      <c r="F15" s="33">
        <f>Data!F26*-1</f>
        <v>-442.60200000000003</v>
      </c>
      <c r="G15" s="32"/>
    </row>
    <row r="16" spans="1:14" x14ac:dyDescent="0.25">
      <c r="A16" s="15" t="s">
        <v>50</v>
      </c>
      <c r="B16" s="31">
        <f>SUM(B14:B15)</f>
        <v>19969.346887204556</v>
      </c>
      <c r="C16" s="31">
        <f t="shared" ref="C16:F16" si="3">SUM(C14:C15)</f>
        <v>20825.067656304003</v>
      </c>
      <c r="D16" s="31">
        <f t="shared" si="3"/>
        <v>22549.563165</v>
      </c>
      <c r="E16" s="31">
        <f t="shared" si="3"/>
        <v>23426.814320000005</v>
      </c>
      <c r="F16" s="31">
        <f t="shared" si="3"/>
        <v>26350.398000000001</v>
      </c>
      <c r="G16" s="32"/>
    </row>
    <row r="17" spans="1:8" x14ac:dyDescent="0.25">
      <c r="A17" s="17" t="s">
        <v>49</v>
      </c>
      <c r="B17" s="31">
        <f>B16*0.3</f>
        <v>5990.8040661613668</v>
      </c>
      <c r="C17" s="31">
        <f t="shared" ref="C17:F17" si="4">C16*0.3</f>
        <v>6247.5202968912008</v>
      </c>
      <c r="D17" s="31">
        <f t="shared" si="4"/>
        <v>6764.8689494999999</v>
      </c>
      <c r="E17" s="31">
        <f t="shared" si="4"/>
        <v>7028.0442960000009</v>
      </c>
      <c r="F17" s="31">
        <f t="shared" si="4"/>
        <v>7905.1193999999996</v>
      </c>
      <c r="G17" s="32"/>
    </row>
    <row r="18" spans="1:8" ht="15.75" thickBot="1" x14ac:dyDescent="0.3">
      <c r="A18" s="17" t="s">
        <v>8</v>
      </c>
      <c r="B18" s="35">
        <f>B16-B17</f>
        <v>13978.542821043189</v>
      </c>
      <c r="C18" s="35">
        <f t="shared" ref="C18:F18" si="5">C16-C17</f>
        <v>14577.547359412802</v>
      </c>
      <c r="D18" s="35">
        <f t="shared" si="5"/>
        <v>15784.6942155</v>
      </c>
      <c r="E18" s="35">
        <f t="shared" si="5"/>
        <v>16398.770024000005</v>
      </c>
      <c r="F18" s="35">
        <f t="shared" si="5"/>
        <v>18445.278600000001</v>
      </c>
      <c r="G18" s="32"/>
    </row>
    <row r="19" spans="1:8" ht="15.75" thickTop="1" x14ac:dyDescent="0.25">
      <c r="A19" s="15"/>
      <c r="B19" s="31"/>
      <c r="C19" s="31"/>
      <c r="D19" s="31"/>
      <c r="E19" s="32"/>
      <c r="F19" s="32"/>
      <c r="G19" s="32"/>
    </row>
    <row r="20" spans="1:8" x14ac:dyDescent="0.25">
      <c r="A20" s="17"/>
      <c r="B20" s="32"/>
      <c r="C20" s="32"/>
      <c r="D20" s="32"/>
      <c r="E20" s="32"/>
      <c r="F20" s="32"/>
      <c r="G20" s="32"/>
      <c r="H20" s="32"/>
    </row>
    <row r="21" spans="1:8" ht="31.9" customHeight="1" x14ac:dyDescent="0.25">
      <c r="A21" s="52" t="s">
        <v>58</v>
      </c>
      <c r="B21" s="52"/>
      <c r="C21" s="52"/>
      <c r="D21" s="52"/>
      <c r="E21" s="52"/>
      <c r="F21" s="52"/>
      <c r="G21" s="32"/>
      <c r="H21" s="32"/>
    </row>
    <row r="22" spans="1:8" x14ac:dyDescent="0.25">
      <c r="B22" s="32"/>
      <c r="C22" s="32"/>
      <c r="D22" s="32"/>
      <c r="E22" s="32"/>
      <c r="F22" s="32"/>
      <c r="G22" s="32"/>
      <c r="H22" s="32"/>
    </row>
    <row r="23" spans="1:8" x14ac:dyDescent="0.25">
      <c r="B23" s="32"/>
      <c r="C23" s="32"/>
      <c r="D23" s="32"/>
      <c r="E23" s="32"/>
      <c r="F23" s="32"/>
      <c r="G23" s="32"/>
      <c r="H23" s="32"/>
    </row>
    <row r="24" spans="1:8" x14ac:dyDescent="0.25">
      <c r="B24" s="32"/>
      <c r="C24" s="32"/>
      <c r="D24" s="32"/>
      <c r="E24" s="32"/>
      <c r="F24" s="32"/>
      <c r="G24" s="32"/>
      <c r="H24" s="32"/>
    </row>
    <row r="25" spans="1:8" x14ac:dyDescent="0.25">
      <c r="B25" s="32"/>
      <c r="C25" s="32"/>
      <c r="D25" s="32"/>
      <c r="E25" s="32"/>
      <c r="F25" s="32"/>
      <c r="G25" s="32"/>
      <c r="H25" s="32"/>
    </row>
    <row r="26" spans="1:8" x14ac:dyDescent="0.25">
      <c r="B26" s="32"/>
      <c r="C26" s="32"/>
      <c r="D26" s="32"/>
      <c r="E26" s="32"/>
      <c r="F26" s="32"/>
      <c r="G26" s="32"/>
      <c r="H26" s="32"/>
    </row>
    <row r="27" spans="1:8" x14ac:dyDescent="0.25">
      <c r="B27" s="32"/>
      <c r="C27" s="32"/>
      <c r="D27" s="32"/>
      <c r="E27" s="32"/>
      <c r="F27" s="32"/>
      <c r="G27" s="32"/>
      <c r="H27" s="32"/>
    </row>
    <row r="28" spans="1:8" x14ac:dyDescent="0.25">
      <c r="B28" s="32"/>
      <c r="C28" s="32"/>
      <c r="D28" s="32"/>
      <c r="E28" s="32"/>
      <c r="F28" s="32"/>
      <c r="G28" s="32"/>
      <c r="H28" s="32"/>
    </row>
    <row r="29" spans="1:8" x14ac:dyDescent="0.25">
      <c r="B29" s="32"/>
      <c r="C29" s="32"/>
      <c r="D29" s="32"/>
      <c r="E29" s="32"/>
      <c r="F29" s="32"/>
      <c r="G29" s="32"/>
      <c r="H29" s="32"/>
    </row>
    <row r="30" spans="1:8" x14ac:dyDescent="0.25">
      <c r="B30" s="32"/>
      <c r="C30" s="32"/>
      <c r="D30" s="32"/>
      <c r="E30" s="32"/>
      <c r="F30" s="32"/>
      <c r="G30" s="32"/>
      <c r="H30" s="32"/>
    </row>
    <row r="31" spans="1:8" x14ac:dyDescent="0.25">
      <c r="B31" s="32"/>
      <c r="C31" s="32"/>
      <c r="D31" s="32"/>
      <c r="E31" s="32"/>
      <c r="F31" s="32"/>
      <c r="G31" s="32"/>
      <c r="H31" s="32"/>
    </row>
  </sheetData>
  <mergeCells count="5">
    <mergeCell ref="A21:F21"/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K4" sqref="K4"/>
    </sheetView>
  </sheetViews>
  <sheetFormatPr defaultRowHeight="15" x14ac:dyDescent="0.25"/>
  <cols>
    <col min="1" max="1" width="15.5703125" bestFit="1" customWidth="1"/>
    <col min="2" max="2" width="16.7109375" bestFit="1" customWidth="1"/>
    <col min="3" max="3" width="9.7109375" customWidth="1"/>
    <col min="4" max="4" width="10.140625" bestFit="1" customWidth="1"/>
    <col min="5" max="7" width="9.7109375" customWidth="1"/>
  </cols>
  <sheetData>
    <row r="1" spans="1:7" x14ac:dyDescent="0.25">
      <c r="A1" s="53" t="s">
        <v>41</v>
      </c>
      <c r="B1" s="53"/>
      <c r="C1" s="53"/>
      <c r="D1" s="53"/>
      <c r="E1" s="53"/>
      <c r="F1" s="53"/>
      <c r="G1" s="53"/>
    </row>
    <row r="2" spans="1:7" x14ac:dyDescent="0.25">
      <c r="A2" s="53" t="s">
        <v>14</v>
      </c>
      <c r="B2" s="53"/>
      <c r="C2" s="53"/>
      <c r="D2" s="53"/>
      <c r="E2" s="53"/>
      <c r="F2" s="53"/>
      <c r="G2" s="53"/>
    </row>
    <row r="3" spans="1:7" x14ac:dyDescent="0.25">
      <c r="A3" s="53" t="s">
        <v>48</v>
      </c>
      <c r="B3" s="53"/>
      <c r="C3" s="53"/>
      <c r="D3" s="53"/>
      <c r="E3" s="53"/>
      <c r="F3" s="53"/>
      <c r="G3" s="53"/>
    </row>
    <row r="5" spans="1:7" x14ac:dyDescent="0.25">
      <c r="C5" s="44">
        <v>2012</v>
      </c>
      <c r="D5" s="44">
        <v>2013</v>
      </c>
      <c r="E5" s="44">
        <v>2014</v>
      </c>
      <c r="F5" s="44">
        <v>2015</v>
      </c>
      <c r="G5" s="44">
        <v>2016</v>
      </c>
    </row>
    <row r="6" spans="1:7" x14ac:dyDescent="0.25">
      <c r="A6" t="s">
        <v>9</v>
      </c>
      <c r="B6" s="34" t="s">
        <v>51</v>
      </c>
      <c r="C6" s="6">
        <f>C10-C7</f>
        <v>4344.1971789568015</v>
      </c>
      <c r="D6" s="6">
        <f>C10</f>
        <v>18322.739999999991</v>
      </c>
      <c r="E6" s="6">
        <f>D10</f>
        <v>20502.050000000003</v>
      </c>
      <c r="F6" s="6">
        <f>E10</f>
        <v>20646.979999999996</v>
      </c>
      <c r="G6" s="6">
        <f>F10</f>
        <v>16846.82699999999</v>
      </c>
    </row>
    <row r="7" spans="1:7" x14ac:dyDescent="0.25">
      <c r="A7" t="s">
        <v>8</v>
      </c>
      <c r="B7" s="11"/>
      <c r="C7" s="37">
        <f>'Income Statement'!B18</f>
        <v>13978.542821043189</v>
      </c>
      <c r="D7" s="37">
        <f>'Income Statement'!C18</f>
        <v>14577.547359412802</v>
      </c>
      <c r="E7" s="37">
        <f>'Income Statement'!D18</f>
        <v>15784.6942155</v>
      </c>
      <c r="F7" s="37">
        <f>'Income Statement'!E18</f>
        <v>16398.770024000005</v>
      </c>
      <c r="G7" s="37">
        <f>'Income Statement'!F18</f>
        <v>18445.278600000001</v>
      </c>
    </row>
    <row r="8" spans="1:7" x14ac:dyDescent="0.25">
      <c r="B8" s="11"/>
      <c r="C8" s="38">
        <f>SUM(C6:C7)</f>
        <v>18322.739999999991</v>
      </c>
      <c r="D8" s="38">
        <f t="shared" ref="D8:G8" si="0">SUM(D6:D7)</f>
        <v>32900.287359412789</v>
      </c>
      <c r="E8" s="38">
        <f t="shared" si="0"/>
        <v>36286.744215500003</v>
      </c>
      <c r="F8" s="38">
        <f t="shared" si="0"/>
        <v>37045.750024000001</v>
      </c>
      <c r="G8" s="38">
        <f t="shared" si="0"/>
        <v>35292.105599999995</v>
      </c>
    </row>
    <row r="9" spans="1:7" x14ac:dyDescent="0.25">
      <c r="A9" t="s">
        <v>10</v>
      </c>
      <c r="B9" s="11"/>
      <c r="C9" s="38">
        <v>0</v>
      </c>
      <c r="D9" s="38">
        <f>D8-D10</f>
        <v>12398.237359412786</v>
      </c>
      <c r="E9" s="38">
        <f t="shared" ref="E9:G9" si="1">E8-E10</f>
        <v>15639.764215500007</v>
      </c>
      <c r="F9" s="38">
        <f t="shared" si="1"/>
        <v>20198.923024000011</v>
      </c>
      <c r="G9" s="38">
        <f t="shared" si="1"/>
        <v>9939.3665999999939</v>
      </c>
    </row>
    <row r="10" spans="1:7" ht="15.75" thickBot="1" x14ac:dyDescent="0.3">
      <c r="A10" t="s">
        <v>9</v>
      </c>
      <c r="B10" s="34" t="s">
        <v>52</v>
      </c>
      <c r="C10" s="46">
        <f>'Balance Sheet'!B34</f>
        <v>18322.739999999991</v>
      </c>
      <c r="D10" s="46">
        <f>'Balance Sheet'!C34</f>
        <v>20502.050000000003</v>
      </c>
      <c r="E10" s="46">
        <f>'Balance Sheet'!D34</f>
        <v>20646.979999999996</v>
      </c>
      <c r="F10" s="46">
        <f>'Balance Sheet'!E34</f>
        <v>16846.82699999999</v>
      </c>
      <c r="G10" s="46">
        <f>'Balance Sheet'!F34</f>
        <v>25352.739000000001</v>
      </c>
    </row>
    <row r="11" spans="1:7" ht="15.75" thickTop="1" x14ac:dyDescent="0.25"/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3" sqref="A3:F3"/>
    </sheetView>
  </sheetViews>
  <sheetFormatPr defaultRowHeight="15" x14ac:dyDescent="0.25"/>
  <cols>
    <col min="1" max="1" width="39.140625" bestFit="1" customWidth="1"/>
    <col min="2" max="7" width="9.7109375" customWidth="1"/>
  </cols>
  <sheetData>
    <row r="1" spans="1:6" x14ac:dyDescent="0.25">
      <c r="A1" s="53" t="s">
        <v>41</v>
      </c>
      <c r="B1" s="53"/>
      <c r="C1" s="53"/>
      <c r="D1" s="53"/>
      <c r="E1" s="53"/>
      <c r="F1" s="53"/>
    </row>
    <row r="2" spans="1:6" x14ac:dyDescent="0.25">
      <c r="A2" s="53" t="s">
        <v>7</v>
      </c>
      <c r="B2" s="53"/>
      <c r="C2" s="53"/>
      <c r="D2" s="53"/>
      <c r="E2" s="53"/>
      <c r="F2" s="53"/>
    </row>
    <row r="3" spans="1:6" x14ac:dyDescent="0.25">
      <c r="A3" s="54">
        <v>42369</v>
      </c>
      <c r="B3" s="54"/>
      <c r="C3" s="54"/>
      <c r="D3" s="54"/>
      <c r="E3" s="54"/>
      <c r="F3" s="54"/>
    </row>
    <row r="4" spans="1:6" x14ac:dyDescent="0.25">
      <c r="A4" t="s">
        <v>43</v>
      </c>
    </row>
    <row r="5" spans="1:6" x14ac:dyDescent="0.25">
      <c r="B5" s="44">
        <v>2012</v>
      </c>
      <c r="C5" s="44">
        <v>2013</v>
      </c>
      <c r="D5" s="44">
        <v>2014</v>
      </c>
      <c r="E5" s="44">
        <v>2015</v>
      </c>
      <c r="F5" s="44">
        <v>2016</v>
      </c>
    </row>
    <row r="6" spans="1:6" x14ac:dyDescent="0.25">
      <c r="A6" t="s">
        <v>15</v>
      </c>
    </row>
    <row r="7" spans="1:6" x14ac:dyDescent="0.25">
      <c r="A7" t="s">
        <v>16</v>
      </c>
    </row>
    <row r="8" spans="1:6" x14ac:dyDescent="0.25">
      <c r="A8" t="str">
        <f>Data!A5</f>
        <v>Cash</v>
      </c>
      <c r="B8" s="7">
        <f>Data!B5</f>
        <v>23612</v>
      </c>
      <c r="C8" s="7">
        <f>Data!C5</f>
        <v>24887</v>
      </c>
      <c r="D8" s="7">
        <f>Data!D5</f>
        <v>27660</v>
      </c>
      <c r="E8" s="7">
        <f>Data!E5</f>
        <v>26558.98</v>
      </c>
      <c r="F8" s="7">
        <f>Data!F5</f>
        <v>32389</v>
      </c>
    </row>
    <row r="9" spans="1:6" x14ac:dyDescent="0.25">
      <c r="A9" t="str">
        <f>Data!A6</f>
        <v>Accounts Receivable</v>
      </c>
      <c r="B9" s="7">
        <f>Data!B6</f>
        <v>7511</v>
      </c>
      <c r="C9" s="7">
        <f>Data!C6</f>
        <v>8493</v>
      </c>
      <c r="D9" s="7">
        <f>Data!D6</f>
        <v>9002</v>
      </c>
      <c r="E9" s="7">
        <f>Data!E6</f>
        <v>9409</v>
      </c>
      <c r="F9" s="7">
        <f>Data!F6</f>
        <v>10068</v>
      </c>
    </row>
    <row r="10" spans="1:6" x14ac:dyDescent="0.25">
      <c r="A10" t="str">
        <f>Data!A7</f>
        <v>Inventory</v>
      </c>
      <c r="B10" s="7">
        <f>Data!B7</f>
        <v>14539</v>
      </c>
      <c r="C10" s="7">
        <f>Data!C7</f>
        <v>15101</v>
      </c>
      <c r="D10" s="7">
        <f>Data!D7</f>
        <v>15979</v>
      </c>
      <c r="E10" s="7">
        <f>Data!E7</f>
        <v>16587</v>
      </c>
      <c r="F10" s="7">
        <f>Data!F7</f>
        <v>16329</v>
      </c>
    </row>
    <row r="11" spans="1:6" x14ac:dyDescent="0.25">
      <c r="A11" t="str">
        <f>Data!A8</f>
        <v>Prepaid Expenses</v>
      </c>
      <c r="B11" s="7">
        <f>Data!B8</f>
        <v>3423.74</v>
      </c>
      <c r="C11" s="7">
        <f>Data!C8</f>
        <v>3733.0499999999997</v>
      </c>
      <c r="D11" s="7">
        <f>Data!D8</f>
        <v>4231.9799999999996</v>
      </c>
      <c r="E11" s="7">
        <f>Data!E8</f>
        <v>3983.8469999999998</v>
      </c>
      <c r="F11" s="7">
        <f>Data!F8</f>
        <v>4890.7389999999996</v>
      </c>
    </row>
    <row r="12" spans="1:6" x14ac:dyDescent="0.25">
      <c r="A12" t="str">
        <f>Data!A9</f>
        <v>Supplies</v>
      </c>
      <c r="B12" s="7">
        <f>Data!B9</f>
        <v>2869</v>
      </c>
      <c r="C12" s="7">
        <f>Data!C9</f>
        <v>2987</v>
      </c>
      <c r="D12" s="7">
        <f>Data!D9</f>
        <v>3326</v>
      </c>
      <c r="E12" s="7">
        <f>Data!E9</f>
        <v>3678</v>
      </c>
      <c r="F12" s="7">
        <f>Data!F9</f>
        <v>3960</v>
      </c>
    </row>
    <row r="13" spans="1:6" x14ac:dyDescent="0.25">
      <c r="A13" t="s">
        <v>17</v>
      </c>
      <c r="B13" s="7">
        <f>SUM(B8:B12)</f>
        <v>51954.74</v>
      </c>
      <c r="C13" s="7">
        <f t="shared" ref="C13:F13" si="0">SUM(C8:C12)</f>
        <v>55201.05</v>
      </c>
      <c r="D13" s="7">
        <f t="shared" si="0"/>
        <v>60198.979999999996</v>
      </c>
      <c r="E13" s="7">
        <f t="shared" si="0"/>
        <v>60216.826999999997</v>
      </c>
      <c r="F13" s="7">
        <f t="shared" si="0"/>
        <v>67636.739000000001</v>
      </c>
    </row>
    <row r="14" spans="1:6" x14ac:dyDescent="0.25">
      <c r="A14" t="s">
        <v>18</v>
      </c>
      <c r="B14" s="7"/>
      <c r="C14" s="7"/>
    </row>
    <row r="15" spans="1:6" x14ac:dyDescent="0.25">
      <c r="A15" t="str">
        <f>Data!A10</f>
        <v>Long-term Investments</v>
      </c>
      <c r="B15" s="7">
        <f>Data!B10</f>
        <v>3113</v>
      </c>
      <c r="C15" s="7">
        <f>Data!C10</f>
        <v>3248</v>
      </c>
      <c r="D15" s="7">
        <f>Data!D10</f>
        <v>3289</v>
      </c>
      <c r="E15" s="7">
        <f>Data!E10</f>
        <v>3300</v>
      </c>
      <c r="F15" s="7">
        <f>Data!F10</f>
        <v>4397</v>
      </c>
    </row>
    <row r="16" spans="1:6" x14ac:dyDescent="0.25">
      <c r="A16" t="str">
        <f>Data!A11</f>
        <v>Equipment</v>
      </c>
      <c r="B16" s="7">
        <f>Data!B11</f>
        <v>40998</v>
      </c>
      <c r="C16" s="7">
        <f>Data!C11</f>
        <v>42548</v>
      </c>
      <c r="D16" s="7">
        <f>Data!D11</f>
        <v>43647</v>
      </c>
      <c r="E16" s="7">
        <f>Data!E11</f>
        <v>45896</v>
      </c>
      <c r="F16" s="7">
        <f>Data!F11</f>
        <v>46486</v>
      </c>
    </row>
    <row r="17" spans="1:6" x14ac:dyDescent="0.25">
      <c r="A17" t="str">
        <f>Data!A12</f>
        <v>Accumulated Depreciation—Equipment</v>
      </c>
      <c r="B17" s="10">
        <f>Data!B12*-1</f>
        <v>-4250</v>
      </c>
      <c r="C17" s="10">
        <f>Data!C12*-1</f>
        <v>-4400</v>
      </c>
      <c r="D17" s="10">
        <f>Data!D12*-1</f>
        <v>-4800</v>
      </c>
      <c r="E17" s="10">
        <f>Data!E12*-1</f>
        <v>-5500</v>
      </c>
      <c r="F17" s="10">
        <f>Data!F12*-1</f>
        <v>-6000</v>
      </c>
    </row>
    <row r="18" spans="1:6" x14ac:dyDescent="0.25">
      <c r="A18" t="s">
        <v>19</v>
      </c>
      <c r="B18" s="7">
        <f>SUM(B15:B17)</f>
        <v>39861</v>
      </c>
      <c r="C18" s="7">
        <f t="shared" ref="C18:F18" si="1">SUM(C15:C17)</f>
        <v>41396</v>
      </c>
      <c r="D18" s="7">
        <f t="shared" si="1"/>
        <v>42136</v>
      </c>
      <c r="E18" s="7">
        <f t="shared" si="1"/>
        <v>43696</v>
      </c>
      <c r="F18" s="7">
        <f t="shared" si="1"/>
        <v>44883</v>
      </c>
    </row>
    <row r="19" spans="1:6" ht="15.75" thickBot="1" x14ac:dyDescent="0.3">
      <c r="A19" t="s">
        <v>20</v>
      </c>
      <c r="B19" s="36">
        <f>B13+B18</f>
        <v>91815.739999999991</v>
      </c>
      <c r="C19" s="36">
        <f t="shared" ref="C19:F19" si="2">C13+C18</f>
        <v>96597.05</v>
      </c>
      <c r="D19" s="36">
        <f t="shared" si="2"/>
        <v>102334.98</v>
      </c>
      <c r="E19" s="36">
        <f t="shared" si="2"/>
        <v>103912.82699999999</v>
      </c>
      <c r="F19" s="36">
        <f t="shared" si="2"/>
        <v>112519.739</v>
      </c>
    </row>
    <row r="20" spans="1:6" ht="15.75" thickTop="1" x14ac:dyDescent="0.25"/>
    <row r="22" spans="1:6" x14ac:dyDescent="0.25">
      <c r="A22" t="s">
        <v>21</v>
      </c>
    </row>
    <row r="23" spans="1:6" x14ac:dyDescent="0.25">
      <c r="A23" t="s">
        <v>22</v>
      </c>
    </row>
    <row r="24" spans="1:6" x14ac:dyDescent="0.25">
      <c r="A24" t="str">
        <f>Data!A13</f>
        <v>Accounts Payable</v>
      </c>
      <c r="B24" s="7">
        <f>Data!B13</f>
        <v>15023</v>
      </c>
      <c r="C24" s="7">
        <f>Data!C13</f>
        <v>15567</v>
      </c>
      <c r="D24" s="7">
        <f>Data!D13</f>
        <v>16590</v>
      </c>
      <c r="E24" s="7">
        <f>Data!E13</f>
        <v>18879</v>
      </c>
      <c r="F24" s="7">
        <f>Data!F13</f>
        <v>20187</v>
      </c>
    </row>
    <row r="25" spans="1:6" x14ac:dyDescent="0.25">
      <c r="A25" t="str">
        <f>Data!A14</f>
        <v>Wages Payable</v>
      </c>
      <c r="B25" s="7">
        <f>Data!B14</f>
        <v>20437</v>
      </c>
      <c r="C25" s="7">
        <f>Data!C14</f>
        <v>21539</v>
      </c>
      <c r="D25" s="7">
        <f>Data!D14</f>
        <v>22619</v>
      </c>
      <c r="E25" s="7">
        <f>Data!E14</f>
        <v>23789</v>
      </c>
      <c r="F25" s="7">
        <f>Data!F14</f>
        <v>25432</v>
      </c>
    </row>
    <row r="26" spans="1:6" x14ac:dyDescent="0.25">
      <c r="A26" t="str">
        <f>Data!A15</f>
        <v>Unearned Revenue</v>
      </c>
      <c r="B26" s="10">
        <f>Data!B15</f>
        <v>2033</v>
      </c>
      <c r="C26" s="10">
        <f>Data!C15</f>
        <v>2239</v>
      </c>
      <c r="D26" s="10">
        <f>Data!D15</f>
        <v>2479</v>
      </c>
      <c r="E26" s="10">
        <f>Data!E15</f>
        <v>2398</v>
      </c>
      <c r="F26" s="10">
        <f>Data!F15</f>
        <v>2548</v>
      </c>
    </row>
    <row r="27" spans="1:6" x14ac:dyDescent="0.25">
      <c r="A27" t="s">
        <v>39</v>
      </c>
      <c r="B27" s="7">
        <f>SUM(B24:B26)</f>
        <v>37493</v>
      </c>
      <c r="C27" s="7">
        <f t="shared" ref="C27:F27" si="3">SUM(C24:C26)</f>
        <v>39345</v>
      </c>
      <c r="D27" s="7">
        <f t="shared" si="3"/>
        <v>41688</v>
      </c>
      <c r="E27" s="7">
        <f t="shared" si="3"/>
        <v>45066</v>
      </c>
      <c r="F27" s="7">
        <f t="shared" si="3"/>
        <v>48167</v>
      </c>
    </row>
    <row r="28" spans="1:6" x14ac:dyDescent="0.25">
      <c r="A28" t="s">
        <v>40</v>
      </c>
      <c r="B28" s="16"/>
      <c r="C28" s="7"/>
    </row>
    <row r="29" spans="1:6" x14ac:dyDescent="0.25">
      <c r="A29" t="str">
        <f>Data!A16</f>
        <v>Notes Payable (due in 2020)</v>
      </c>
      <c r="B29" s="10">
        <f>Data!B16</f>
        <v>28000</v>
      </c>
      <c r="C29" s="10">
        <f>Data!C16</f>
        <v>28750</v>
      </c>
      <c r="D29" s="10">
        <f>Data!D16</f>
        <v>30000</v>
      </c>
      <c r="E29" s="10">
        <f>Data!E16</f>
        <v>32000</v>
      </c>
      <c r="F29" s="10">
        <f>Data!F16</f>
        <v>29000</v>
      </c>
    </row>
    <row r="30" spans="1:6" x14ac:dyDescent="0.25">
      <c r="A30" t="s">
        <v>23</v>
      </c>
      <c r="B30" s="7">
        <f>SUM(B27:B29)</f>
        <v>65493</v>
      </c>
      <c r="C30" s="7">
        <f t="shared" ref="C30:F30" si="4">SUM(C27:C29)</f>
        <v>68095</v>
      </c>
      <c r="D30" s="7">
        <f t="shared" si="4"/>
        <v>71688</v>
      </c>
      <c r="E30" s="7">
        <f t="shared" si="4"/>
        <v>77066</v>
      </c>
      <c r="F30" s="7">
        <f t="shared" si="4"/>
        <v>77167</v>
      </c>
    </row>
    <row r="31" spans="1:6" x14ac:dyDescent="0.25">
      <c r="B31" s="7"/>
      <c r="C31" s="7"/>
    </row>
    <row r="32" spans="1:6" x14ac:dyDescent="0.25">
      <c r="A32" t="s">
        <v>24</v>
      </c>
      <c r="B32" s="7"/>
      <c r="C32" s="7"/>
    </row>
    <row r="33" spans="1:6" x14ac:dyDescent="0.25">
      <c r="A33" t="str">
        <f>Data!A17</f>
        <v>Common Stock</v>
      </c>
      <c r="B33" s="7">
        <f>Data!B17</f>
        <v>8000</v>
      </c>
      <c r="C33" s="7">
        <f>Data!C17</f>
        <v>8000</v>
      </c>
      <c r="D33" s="7">
        <f>Data!D17</f>
        <v>10000</v>
      </c>
      <c r="E33" s="7">
        <f>Data!E17</f>
        <v>10000</v>
      </c>
      <c r="F33" s="7">
        <f>Data!F17</f>
        <v>10000</v>
      </c>
    </row>
    <row r="34" spans="1:6" x14ac:dyDescent="0.25">
      <c r="A34" t="str">
        <f>Data!A18</f>
        <v>Retained Earnings</v>
      </c>
      <c r="B34" s="10">
        <f>B35-B33</f>
        <v>18322.739999999991</v>
      </c>
      <c r="C34" s="10">
        <f t="shared" ref="C34:F34" si="5">C35-C33</f>
        <v>20502.050000000003</v>
      </c>
      <c r="D34" s="10">
        <f t="shared" si="5"/>
        <v>20646.979999999996</v>
      </c>
      <c r="E34" s="10">
        <f t="shared" si="5"/>
        <v>16846.82699999999</v>
      </c>
      <c r="F34" s="10">
        <f t="shared" si="5"/>
        <v>25352.739000000001</v>
      </c>
    </row>
    <row r="35" spans="1:6" x14ac:dyDescent="0.25">
      <c r="A35" t="s">
        <v>26</v>
      </c>
      <c r="B35" s="7">
        <f>B36-B30</f>
        <v>26322.739999999991</v>
      </c>
      <c r="C35" s="7">
        <f t="shared" ref="C35:F35" si="6">C36-C30</f>
        <v>28502.050000000003</v>
      </c>
      <c r="D35" s="7">
        <f t="shared" si="6"/>
        <v>30646.979999999996</v>
      </c>
      <c r="E35" s="7">
        <f t="shared" si="6"/>
        <v>26846.82699999999</v>
      </c>
      <c r="F35" s="7">
        <f t="shared" si="6"/>
        <v>35352.739000000001</v>
      </c>
    </row>
    <row r="36" spans="1:6" ht="15.75" thickBot="1" x14ac:dyDescent="0.3">
      <c r="A36" t="s">
        <v>27</v>
      </c>
      <c r="B36" s="36">
        <f>B19</f>
        <v>91815.739999999991</v>
      </c>
      <c r="C36" s="36">
        <f t="shared" ref="C36:F36" si="7">C19</f>
        <v>96597.05</v>
      </c>
      <c r="D36" s="36">
        <f t="shared" si="7"/>
        <v>102334.98</v>
      </c>
      <c r="E36" s="36">
        <f t="shared" si="7"/>
        <v>103912.82699999999</v>
      </c>
      <c r="F36" s="36">
        <f t="shared" si="7"/>
        <v>112519.739</v>
      </c>
    </row>
    <row r="37" spans="1:6" ht="15.75" thickTop="1" x14ac:dyDescent="0.25"/>
    <row r="39" spans="1:6" ht="28.9" customHeight="1" x14ac:dyDescent="0.25">
      <c r="A39" s="52" t="s">
        <v>59</v>
      </c>
      <c r="B39" s="52"/>
      <c r="C39" s="52"/>
      <c r="D39" s="52"/>
      <c r="E39" s="52"/>
      <c r="F39" s="52"/>
    </row>
  </sheetData>
  <mergeCells count="4">
    <mergeCell ref="A39:F39"/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13" sqref="J13"/>
    </sheetView>
  </sheetViews>
  <sheetFormatPr defaultRowHeight="15" x14ac:dyDescent="0.25"/>
  <cols>
    <col min="1" max="1" width="20.28515625" bestFit="1" customWidth="1"/>
    <col min="2" max="3" width="11.140625" bestFit="1" customWidth="1"/>
  </cols>
  <sheetData>
    <row r="1" spans="1:7" x14ac:dyDescent="0.25">
      <c r="A1" s="53" t="s">
        <v>41</v>
      </c>
      <c r="B1" s="53"/>
      <c r="C1" s="53"/>
      <c r="D1" s="53"/>
      <c r="E1" s="53"/>
      <c r="F1" s="53"/>
      <c r="G1" s="53"/>
    </row>
    <row r="2" spans="1:7" x14ac:dyDescent="0.25">
      <c r="A2" s="53" t="s">
        <v>57</v>
      </c>
      <c r="B2" s="53"/>
      <c r="C2" s="53"/>
      <c r="D2" s="53"/>
      <c r="E2" s="53"/>
      <c r="F2" s="53"/>
      <c r="G2" s="53"/>
    </row>
    <row r="3" spans="1:7" x14ac:dyDescent="0.25">
      <c r="A3" s="53"/>
      <c r="B3" s="53"/>
      <c r="C3" s="53"/>
      <c r="D3" s="53"/>
    </row>
    <row r="4" spans="1:7" x14ac:dyDescent="0.25">
      <c r="C4" s="19">
        <v>2012</v>
      </c>
      <c r="D4" s="19">
        <v>2013</v>
      </c>
      <c r="E4" s="19">
        <v>2014</v>
      </c>
      <c r="F4" s="19">
        <v>2015</v>
      </c>
      <c r="G4" s="19">
        <v>2016</v>
      </c>
    </row>
    <row r="5" spans="1:7" x14ac:dyDescent="0.25">
      <c r="A5" t="s">
        <v>28</v>
      </c>
      <c r="C5" s="45">
        <f>'Balance Sheet'!B13/'Balance Sheet'!B27</f>
        <v>1.3857184007681433</v>
      </c>
      <c r="D5" s="45">
        <f>'Balance Sheet'!C13/'Balance Sheet'!C27</f>
        <v>1.4030003812428518</v>
      </c>
      <c r="E5" s="45">
        <f>'Balance Sheet'!D13/'Balance Sheet'!D27</f>
        <v>1.4440361734791785</v>
      </c>
      <c r="F5" s="45">
        <f>'Balance Sheet'!E13/'Balance Sheet'!E27</f>
        <v>1.3361919628988594</v>
      </c>
      <c r="G5" s="45">
        <f>'Balance Sheet'!F13/'Balance Sheet'!F27</f>
        <v>1.4042132372786347</v>
      </c>
    </row>
    <row r="6" spans="1:7" x14ac:dyDescent="0.25">
      <c r="A6" t="s">
        <v>29</v>
      </c>
      <c r="C6" s="12">
        <f>'Income Statement'!B8/'Income Statement'!B6</f>
        <v>0.61399825609319036</v>
      </c>
      <c r="D6" s="12">
        <f>'Income Statement'!C8/'Income Statement'!C6</f>
        <v>0.60099999999999998</v>
      </c>
      <c r="E6" s="12">
        <f>'Income Statement'!D8/'Income Statement'!D6</f>
        <v>0.5970044425639941</v>
      </c>
      <c r="F6" s="12">
        <f>'Income Statement'!E8/'Income Statement'!E6</f>
        <v>0.59100199878596726</v>
      </c>
      <c r="G6" s="12">
        <f>'Income Statement'!F8/'Income Statement'!F6</f>
        <v>0.58999959331408358</v>
      </c>
    </row>
    <row r="7" spans="1:7" x14ac:dyDescent="0.25">
      <c r="A7" t="s">
        <v>30</v>
      </c>
      <c r="C7" s="12">
        <f>'Income Statement'!B18/'Income Statement'!B6</f>
        <v>0.1501874080950984</v>
      </c>
      <c r="D7" s="12">
        <f>'Income Statement'!C18/'Income Statement'!C6</f>
        <v>0.14017712725806056</v>
      </c>
      <c r="E7" s="12">
        <f>'Income Statement'!D18/'Income Statement'!D6</f>
        <v>0.13357050319864608</v>
      </c>
      <c r="F7" s="12">
        <f>'Income Statement'!E18/'Income Statement'!E6</f>
        <v>0.12350275585439442</v>
      </c>
      <c r="G7" s="12">
        <f>'Income Statement'!F18/'Income Statement'!F6</f>
        <v>0.12502391719874742</v>
      </c>
    </row>
    <row r="8" spans="1:7" x14ac:dyDescent="0.25">
      <c r="A8" t="s">
        <v>31</v>
      </c>
      <c r="C8" s="12">
        <f>'Balance Sheet'!B30/'Balance Sheet'!B19</f>
        <v>0.7133090687936513</v>
      </c>
      <c r="D8" s="12">
        <f>'Balance Sheet'!C30/'Balance Sheet'!C19</f>
        <v>0.70493871189648127</v>
      </c>
      <c r="E8" s="12">
        <f>'Balance Sheet'!D30/'Balance Sheet'!D19</f>
        <v>0.70052292969618013</v>
      </c>
      <c r="F8" s="12">
        <f>'Balance Sheet'!E30/'Balance Sheet'!E19</f>
        <v>0.74164087557737224</v>
      </c>
      <c r="G8" s="12">
        <f>'Balance Sheet'!F30/'Balance Sheet'!F19</f>
        <v>0.6858085584432434</v>
      </c>
    </row>
    <row r="11" spans="1:7" ht="46.15" customHeight="1" x14ac:dyDescent="0.25">
      <c r="A11" s="55"/>
      <c r="B11" s="55"/>
      <c r="C11" s="55"/>
    </row>
    <row r="12" spans="1:7" x14ac:dyDescent="0.25">
      <c r="A12" s="14"/>
      <c r="B12" s="9"/>
      <c r="C12" s="13"/>
    </row>
    <row r="13" spans="1:7" x14ac:dyDescent="0.25">
      <c r="B13" s="9"/>
    </row>
  </sheetData>
  <mergeCells count="4">
    <mergeCell ref="A3:D3"/>
    <mergeCell ref="A11:C11"/>
    <mergeCell ref="A1:G1"/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I6" sqref="I6"/>
    </sheetView>
  </sheetViews>
  <sheetFormatPr defaultRowHeight="15" x14ac:dyDescent="0.25"/>
  <cols>
    <col min="1" max="1" width="23.85546875" bestFit="1" customWidth="1"/>
    <col min="2" max="3" width="10.5703125" bestFit="1" customWidth="1"/>
    <col min="4" max="6" width="11.5703125" bestFit="1" customWidth="1"/>
  </cols>
  <sheetData>
    <row r="1" spans="1:7" x14ac:dyDescent="0.25">
      <c r="A1" s="53" t="s">
        <v>41</v>
      </c>
      <c r="B1" s="53"/>
      <c r="C1" s="53"/>
      <c r="D1" s="53"/>
      <c r="E1" s="53"/>
      <c r="F1" s="53"/>
      <c r="G1" s="1"/>
    </row>
    <row r="2" spans="1:7" x14ac:dyDescent="0.25">
      <c r="A2" s="53" t="s">
        <v>56</v>
      </c>
      <c r="B2" s="53"/>
      <c r="C2" s="53"/>
      <c r="D2" s="53"/>
      <c r="E2" s="53"/>
      <c r="F2" s="53"/>
      <c r="G2" s="1"/>
    </row>
    <row r="3" spans="1:7" x14ac:dyDescent="0.25">
      <c r="A3" s="44"/>
      <c r="B3" s="44"/>
      <c r="C3" s="44"/>
      <c r="D3" s="44"/>
      <c r="E3" s="44"/>
      <c r="F3" s="44"/>
      <c r="G3" s="1"/>
    </row>
    <row r="4" spans="1:7" x14ac:dyDescent="0.25">
      <c r="B4" s="39">
        <v>2012</v>
      </c>
      <c r="C4" s="39">
        <v>2013</v>
      </c>
      <c r="D4" s="39">
        <v>2014</v>
      </c>
      <c r="E4" s="39">
        <v>2015</v>
      </c>
      <c r="F4" s="39">
        <v>2016</v>
      </c>
    </row>
    <row r="5" spans="1:7" x14ac:dyDescent="0.25">
      <c r="A5" s="15" t="s">
        <v>37</v>
      </c>
      <c r="B5" s="31">
        <f>'Income Statement'!B6</f>
        <v>93074</v>
      </c>
      <c r="C5" s="31">
        <f>'Income Statement'!C6</f>
        <v>103993.76592000001</v>
      </c>
      <c r="D5" s="31">
        <f>'Income Statement'!D6</f>
        <v>118175</v>
      </c>
      <c r="E5" s="31">
        <f>'Income Statement'!E6</f>
        <v>132780.6</v>
      </c>
      <c r="F5" s="31">
        <f>'Income Statement'!F6</f>
        <v>147534</v>
      </c>
    </row>
    <row r="6" spans="1:7" x14ac:dyDescent="0.25">
      <c r="A6" s="15" t="s">
        <v>55</v>
      </c>
      <c r="B6" s="31"/>
      <c r="C6" s="40">
        <f>(C5-$B$5)/$B$5</f>
        <v>0.11732348367965281</v>
      </c>
      <c r="D6" s="40">
        <f t="shared" ref="D6:F6" si="0">(D5-$B$5)/$B$5</f>
        <v>0.26968863484968947</v>
      </c>
      <c r="E6" s="40">
        <f t="shared" si="0"/>
        <v>0.42661323248168131</v>
      </c>
      <c r="F6" s="40">
        <f t="shared" si="0"/>
        <v>0.58512581386853468</v>
      </c>
    </row>
    <row r="7" spans="1:7" x14ac:dyDescent="0.25">
      <c r="A7" s="15"/>
      <c r="B7" s="31"/>
      <c r="C7" s="40"/>
      <c r="D7" s="40"/>
      <c r="E7" s="40"/>
      <c r="F7" s="40"/>
    </row>
    <row r="8" spans="1:7" x14ac:dyDescent="0.25">
      <c r="A8" s="15" t="s">
        <v>12</v>
      </c>
      <c r="B8" s="31">
        <f>'Income Statement'!B8</f>
        <v>57147.273687617599</v>
      </c>
      <c r="C8" s="31">
        <f>'Income Statement'!C8</f>
        <v>62500.253317920004</v>
      </c>
      <c r="D8" s="31">
        <f>'Income Statement'!D8</f>
        <v>70551</v>
      </c>
      <c r="E8" s="31">
        <f>'Income Statement'!E8</f>
        <v>78473.600000000006</v>
      </c>
      <c r="F8" s="31">
        <f>'Income Statement'!F8</f>
        <v>87045</v>
      </c>
    </row>
    <row r="9" spans="1:7" x14ac:dyDescent="0.25">
      <c r="A9" s="17" t="s">
        <v>55</v>
      </c>
      <c r="B9" s="31"/>
      <c r="C9" s="40">
        <f>(C8-$B$8)/$B$8</f>
        <v>9.3669903827140286E-2</v>
      </c>
      <c r="D9" s="40">
        <f t="shared" ref="D9:F9" si="1">(D8-$B$8)/$B$8</f>
        <v>0.23454708243215208</v>
      </c>
      <c r="E9" s="40">
        <f t="shared" si="1"/>
        <v>0.37318186741432069</v>
      </c>
      <c r="F9" s="40">
        <f t="shared" si="1"/>
        <v>0.52316977491894767</v>
      </c>
    </row>
    <row r="10" spans="1:7" x14ac:dyDescent="0.25">
      <c r="A10" s="15"/>
      <c r="B10" s="31"/>
      <c r="C10" s="31"/>
      <c r="D10" s="31"/>
      <c r="E10" s="31"/>
      <c r="F10" s="31"/>
    </row>
    <row r="11" spans="1:7" x14ac:dyDescent="0.25">
      <c r="A11" s="17" t="s">
        <v>8</v>
      </c>
      <c r="B11" s="41">
        <f>'Income Statement'!B18</f>
        <v>13978.542821043189</v>
      </c>
      <c r="C11" s="41">
        <f>'Income Statement'!C18</f>
        <v>14577.547359412802</v>
      </c>
      <c r="D11" s="41">
        <f>'Income Statement'!D18</f>
        <v>15784.6942155</v>
      </c>
      <c r="E11" s="41">
        <f>'Income Statement'!E18</f>
        <v>16398.770024000005</v>
      </c>
      <c r="F11" s="41">
        <f>'Income Statement'!F18</f>
        <v>18445.278600000001</v>
      </c>
    </row>
    <row r="12" spans="1:7" x14ac:dyDescent="0.25">
      <c r="A12" s="17" t="s">
        <v>55</v>
      </c>
      <c r="C12" s="42">
        <f>(C11-$B$11)/$B$11</f>
        <v>4.2851715378220662E-2</v>
      </c>
      <c r="D12" s="42">
        <f t="shared" ref="D12:F12" si="2">(D11-$B$11)/$B$11</f>
        <v>0.12920884655715648</v>
      </c>
      <c r="E12" s="42">
        <f t="shared" si="2"/>
        <v>0.1731387336964354</v>
      </c>
      <c r="F12" s="42">
        <f t="shared" si="2"/>
        <v>0.31954230395407329</v>
      </c>
    </row>
    <row r="14" spans="1:7" x14ac:dyDescent="0.25">
      <c r="A14" t="s">
        <v>20</v>
      </c>
      <c r="B14" s="47">
        <f>'Balance Sheet'!B19</f>
        <v>91815.739999999991</v>
      </c>
      <c r="C14" s="47">
        <f>'Balance Sheet'!C19</f>
        <v>96597.05</v>
      </c>
      <c r="D14" s="47">
        <f>'Balance Sheet'!D19</f>
        <v>102334.98</v>
      </c>
      <c r="E14" s="47">
        <f>'Balance Sheet'!E19</f>
        <v>103912.82699999999</v>
      </c>
      <c r="F14" s="47">
        <f>'Balance Sheet'!F19</f>
        <v>112519.739</v>
      </c>
    </row>
    <row r="15" spans="1:7" x14ac:dyDescent="0.25">
      <c r="A15" t="s">
        <v>55</v>
      </c>
      <c r="B15" s="43"/>
      <c r="C15" s="42">
        <f>(C14-$B$14)/$B$14</f>
        <v>5.2075058154516997E-2</v>
      </c>
      <c r="D15" s="42">
        <f t="shared" ref="D15:F15" si="3">(D14-$B$14)/$B$14</f>
        <v>0.11456902705353142</v>
      </c>
      <c r="E15" s="42">
        <f t="shared" si="3"/>
        <v>0.13175395634778961</v>
      </c>
      <c r="F15" s="42">
        <f t="shared" si="3"/>
        <v>0.2254950948497503</v>
      </c>
    </row>
    <row r="16" spans="1:7" x14ac:dyDescent="0.25">
      <c r="B16" s="43"/>
      <c r="C16" s="43"/>
      <c r="D16" s="43"/>
      <c r="E16" s="43"/>
      <c r="F16" s="43"/>
    </row>
    <row r="17" spans="1:6" x14ac:dyDescent="0.25">
      <c r="A17" t="s">
        <v>23</v>
      </c>
      <c r="B17" s="47">
        <f>'Balance Sheet'!B30</f>
        <v>65493</v>
      </c>
      <c r="C17" s="47">
        <f>'Balance Sheet'!C30</f>
        <v>68095</v>
      </c>
      <c r="D17" s="47">
        <f>'Balance Sheet'!D30</f>
        <v>71688</v>
      </c>
      <c r="E17" s="47">
        <f>'Balance Sheet'!E30</f>
        <v>77066</v>
      </c>
      <c r="F17" s="47">
        <f>'Balance Sheet'!F30</f>
        <v>77167</v>
      </c>
    </row>
    <row r="18" spans="1:6" x14ac:dyDescent="0.25">
      <c r="A18" t="s">
        <v>55</v>
      </c>
      <c r="B18" s="43"/>
      <c r="C18" s="42">
        <f>(C17-$B$17)/$B$17</f>
        <v>3.9729436733696728E-2</v>
      </c>
      <c r="D18" s="42">
        <f t="shared" ref="D18:F18" si="4">(D17-$B$17)/$B$17</f>
        <v>9.4590261554669972E-2</v>
      </c>
      <c r="E18" s="42">
        <f t="shared" si="4"/>
        <v>0.17670590750156506</v>
      </c>
      <c r="F18" s="42">
        <f t="shared" si="4"/>
        <v>0.17824805704426427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Data</vt:lpstr>
      <vt:lpstr>Income Statement</vt:lpstr>
      <vt:lpstr>Retained Earnings Statement</vt:lpstr>
      <vt:lpstr>Balance Sheet</vt:lpstr>
      <vt:lpstr>Financial Analysis</vt:lpstr>
      <vt:lpstr>Trend Analysis</vt:lpstr>
      <vt:lpstr>Data!Print_Area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Vickie</cp:lastModifiedBy>
  <cp:lastPrinted>2014-04-01T15:26:44Z</cp:lastPrinted>
  <dcterms:created xsi:type="dcterms:W3CDTF">2013-01-20T18:40:52Z</dcterms:created>
  <dcterms:modified xsi:type="dcterms:W3CDTF">2016-09-22T15:51:00Z</dcterms:modified>
</cp:coreProperties>
</file>